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 codeName="Questa_cartella_di_lavoro"/>
  <xr:revisionPtr revIDLastSave="0" documentId="13_ncr:1_{855DA841-6156-4A3D-B247-35018A16FB95}" xr6:coauthVersionLast="47" xr6:coauthVersionMax="47" xr10:uidLastSave="{00000000-0000-0000-0000-000000000000}"/>
  <bookViews>
    <workbookView xWindow="19080" yWindow="-120" windowWidth="29040" windowHeight="15840" xr2:uid="{00000000-000D-0000-FFFF-FFFF00000000}"/>
  </bookViews>
  <sheets>
    <sheet name="CIG 2021" sheetId="2" r:id="rId1"/>
    <sheet name="Foglio1" sheetId="3" r:id="rId2"/>
  </sheets>
  <definedNames>
    <definedName name="_xlnm._FilterDatabase" localSheetId="0" hidden="1">'CIG 2021'!$A$1:$U$268</definedName>
    <definedName name="_xlnm.Print_Area" localSheetId="0">'CIG 2021'!$A$1:$T$286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03" i="2" l="1"/>
  <c r="Q261" i="2"/>
  <c r="Q234" i="2"/>
  <c r="Q235" i="2"/>
  <c r="Q227" i="2"/>
  <c r="Q270" i="2"/>
  <c r="P248" i="2"/>
  <c r="Q222" i="2"/>
  <c r="Q229" i="2" l="1"/>
  <c r="Q239" i="2" l="1"/>
  <c r="Q226" i="2"/>
  <c r="Q248" i="2"/>
  <c r="Q250" i="2"/>
  <c r="Q249" i="2"/>
  <c r="Q246" i="2"/>
  <c r="Q247" i="2"/>
  <c r="Q238" i="2"/>
  <c r="Q241" i="2"/>
  <c r="Q232" i="2"/>
  <c r="Q233" i="2"/>
  <c r="R286" i="2"/>
  <c r="R285" i="2" l="1"/>
  <c r="R284" i="2" l="1"/>
  <c r="R283" i="2"/>
  <c r="R282" i="2"/>
  <c r="R281" i="2"/>
  <c r="Q236" i="2" l="1"/>
  <c r="Q93" i="2"/>
  <c r="R271" i="2"/>
  <c r="Q271" i="2"/>
  <c r="Q151" i="2"/>
  <c r="Q209" i="2"/>
  <c r="Q264" i="2"/>
  <c r="Q206" i="2"/>
  <c r="Q263" i="2"/>
  <c r="Q111" i="2"/>
  <c r="Q254" i="2"/>
  <c r="R117" i="2"/>
  <c r="Q117" i="2"/>
  <c r="Q266" i="2"/>
  <c r="Q267" i="2"/>
  <c r="Q184" i="2"/>
  <c r="R114" i="2"/>
  <c r="Q114" i="2"/>
  <c r="Q268" i="2"/>
  <c r="Q237" i="2"/>
  <c r="Q5" i="2"/>
  <c r="Q225" i="2"/>
  <c r="Q202" i="2" l="1"/>
  <c r="R202" i="2" s="1"/>
  <c r="Q42" i="2"/>
  <c r="R37" i="2"/>
  <c r="Q37" i="2"/>
  <c r="Q143" i="2"/>
  <c r="Q208" i="2" l="1"/>
  <c r="R280" i="2" l="1"/>
  <c r="Q201" i="2" l="1"/>
  <c r="Q231" i="2"/>
  <c r="R261" i="2"/>
  <c r="Q109" i="2"/>
  <c r="Q243" i="2"/>
  <c r="Q212" i="2"/>
  <c r="Q255" i="2"/>
  <c r="R276" i="2"/>
  <c r="R274" i="2" l="1"/>
  <c r="R275" i="2"/>
  <c r="R277" i="2"/>
  <c r="R273" i="2"/>
  <c r="Q215" i="2"/>
  <c r="Q256" i="2"/>
  <c r="Q240" i="2"/>
  <c r="R239" i="2"/>
  <c r="Q204" i="2"/>
  <c r="Q253" i="2"/>
  <c r="Q150" i="2"/>
  <c r="R270" i="2"/>
  <c r="R269" i="2" l="1"/>
  <c r="Q228" i="2" l="1"/>
  <c r="Q216" i="2"/>
  <c r="Q158" i="2"/>
  <c r="R238" i="2"/>
  <c r="Q121" i="2"/>
  <c r="Q183" i="2"/>
  <c r="R263" i="2" l="1"/>
  <c r="R267" i="2"/>
  <c r="R266" i="2"/>
  <c r="R268" i="2"/>
  <c r="R265" i="2"/>
  <c r="R264" i="2"/>
  <c r="R259" i="2"/>
  <c r="R258" i="2"/>
  <c r="R257" i="2"/>
  <c r="R256" i="2"/>
  <c r="R255" i="2"/>
  <c r="R254" i="2"/>
  <c r="R253" i="2"/>
  <c r="R252" i="2"/>
  <c r="R251" i="2"/>
  <c r="R250" i="2"/>
  <c r="R249" i="2"/>
  <c r="R248" i="2"/>
  <c r="R247" i="2"/>
  <c r="R246" i="2"/>
  <c r="R245" i="2"/>
  <c r="R244" i="2"/>
  <c r="R243" i="2"/>
  <c r="R242" i="2"/>
  <c r="R241" i="2"/>
  <c r="R240" i="2"/>
  <c r="R237" i="2"/>
  <c r="R236" i="2"/>
  <c r="R235" i="2"/>
  <c r="R234" i="2"/>
  <c r="R233" i="2"/>
  <c r="R232" i="2"/>
  <c r="R230" i="2"/>
  <c r="R229" i="2"/>
  <c r="R227" i="2"/>
  <c r="R226" i="2"/>
  <c r="R222" i="2"/>
  <c r="R214" i="2"/>
  <c r="R213" i="2"/>
  <c r="R211" i="2"/>
  <c r="R199" i="2"/>
  <c r="R196" i="2"/>
  <c r="R194" i="2"/>
  <c r="R190" i="2"/>
  <c r="R189" i="2"/>
  <c r="R188" i="2"/>
  <c r="R187" i="2"/>
  <c r="R185" i="2"/>
  <c r="R180" i="2"/>
  <c r="R176" i="2"/>
  <c r="R272" i="2"/>
  <c r="R165" i="2"/>
  <c r="R164" i="2"/>
  <c r="R153" i="2"/>
  <c r="R151" i="2"/>
  <c r="R149" i="2"/>
  <c r="R132" i="2"/>
  <c r="R131" i="2"/>
  <c r="R110" i="2"/>
  <c r="R107" i="2"/>
  <c r="R104" i="2"/>
  <c r="R96" i="2"/>
  <c r="R92" i="2"/>
  <c r="R89" i="2"/>
  <c r="R88" i="2"/>
  <c r="R82" i="2"/>
  <c r="R79" i="2"/>
  <c r="R78" i="2"/>
  <c r="R75" i="2"/>
  <c r="R74" i="2"/>
  <c r="R73" i="2"/>
  <c r="R51" i="2"/>
  <c r="R48" i="2"/>
  <c r="R45" i="2"/>
  <c r="R41" i="2"/>
  <c r="R40" i="2"/>
  <c r="R26" i="2"/>
  <c r="R25" i="2"/>
  <c r="R20" i="2"/>
  <c r="R6" i="2"/>
  <c r="R260" i="2"/>
  <c r="P204" i="2" l="1"/>
  <c r="R204" i="2" s="1"/>
  <c r="P141" i="2"/>
  <c r="P143" i="2"/>
  <c r="P181" i="2"/>
  <c r="R181" i="2" s="1"/>
  <c r="P225" i="2"/>
  <c r="R225" i="2" s="1"/>
  <c r="P228" i="2"/>
  <c r="R228" i="2" s="1"/>
  <c r="P224" i="2"/>
  <c r="R224" i="2" s="1"/>
  <c r="P200" i="2"/>
  <c r="R200" i="2" s="1"/>
  <c r="P65" i="2"/>
  <c r="P203" i="2"/>
  <c r="R203" i="2" s="1"/>
  <c r="P231" i="2"/>
  <c r="R231" i="2" s="1"/>
  <c r="P221" i="2"/>
  <c r="R221" i="2" s="1"/>
  <c r="P183" i="2"/>
  <c r="R183" i="2" s="1"/>
  <c r="P201" i="2"/>
  <c r="R201" i="2" s="1"/>
  <c r="P119" i="2" l="1"/>
  <c r="P11" i="2"/>
  <c r="P109" i="2"/>
  <c r="P202" i="2"/>
  <c r="P42" i="2"/>
  <c r="P208" i="2"/>
  <c r="R208" i="2" s="1"/>
  <c r="P184" i="2"/>
  <c r="R184" i="2" s="1"/>
  <c r="P106" i="2"/>
  <c r="P154" i="2"/>
  <c r="R154" i="2" s="1"/>
  <c r="P108" i="2"/>
  <c r="P118" i="2"/>
  <c r="P182" i="2"/>
  <c r="R182" i="2" s="1"/>
  <c r="P97" i="2"/>
  <c r="P93" i="2"/>
  <c r="P198" i="2"/>
  <c r="R198" i="2" s="1"/>
  <c r="P216" i="2"/>
  <c r="R216" i="2" s="1"/>
  <c r="P217" i="2"/>
  <c r="R217" i="2" s="1"/>
  <c r="P197" i="2"/>
  <c r="R197" i="2" s="1"/>
  <c r="P210" i="2"/>
  <c r="R210" i="2" s="1"/>
  <c r="P100" i="2"/>
  <c r="P99" i="2"/>
  <c r="P102" i="2"/>
  <c r="P166" i="2" l="1"/>
  <c r="R166" i="2" s="1"/>
  <c r="P163" i="2"/>
  <c r="P162" i="2"/>
  <c r="R162" i="2" s="1"/>
  <c r="P209" i="2"/>
  <c r="R209" i="2" s="1"/>
  <c r="P14" i="2"/>
  <c r="P61" i="2"/>
  <c r="P195" i="2" l="1"/>
  <c r="R195" i="2" s="1"/>
  <c r="P114" i="2" l="1"/>
  <c r="P215" i="2" l="1"/>
  <c r="R215" i="2" s="1"/>
  <c r="P117" i="2"/>
  <c r="P218" i="2"/>
  <c r="R218" i="2" s="1"/>
  <c r="P105" i="2"/>
  <c r="P212" i="2"/>
  <c r="R212" i="2" s="1"/>
  <c r="P146" i="2"/>
  <c r="P206" i="2"/>
  <c r="R206" i="2" s="1"/>
  <c r="P17" i="2"/>
  <c r="P168" i="2" l="1"/>
  <c r="P152" i="2" l="1"/>
  <c r="P223" i="2"/>
  <c r="R223" i="2" s="1"/>
  <c r="P156" i="2"/>
  <c r="P18" i="2"/>
  <c r="P161" i="2"/>
  <c r="R161" i="2" s="1"/>
  <c r="P111" i="2"/>
  <c r="P193" i="2"/>
  <c r="R193" i="2" s="1"/>
  <c r="P15" i="2"/>
  <c r="P170" i="2"/>
  <c r="I223" i="2"/>
  <c r="P37" i="2"/>
  <c r="P178" i="2"/>
  <c r="P64" i="2"/>
  <c r="R64" i="2" s="1"/>
  <c r="P136" i="2"/>
  <c r="P4" i="2"/>
  <c r="P219" i="2"/>
  <c r="R219" i="2" s="1"/>
  <c r="P186" i="2" l="1"/>
  <c r="R186" i="2" s="1"/>
  <c r="P5" i="2"/>
  <c r="P207" i="2"/>
  <c r="R207" i="2" s="1"/>
  <c r="P91" i="2"/>
  <c r="P169" i="2"/>
  <c r="R169" i="2" s="1"/>
  <c r="P192" i="2"/>
  <c r="P205" i="2"/>
  <c r="R205" i="2" s="1"/>
  <c r="P144" i="2"/>
  <c r="P191" i="2"/>
  <c r="P16" i="2"/>
  <c r="P147" i="2"/>
  <c r="P55" i="2"/>
  <c r="P167" i="2" l="1"/>
  <c r="P62" i="2" l="1"/>
  <c r="P158" i="2" l="1"/>
  <c r="R158" i="2" s="1"/>
  <c r="P138" i="2"/>
  <c r="P173" i="2"/>
  <c r="R173" i="2" s="1"/>
  <c r="P43" i="2" l="1"/>
  <c r="P172" i="2"/>
  <c r="R172" i="2" s="1"/>
  <c r="P171" i="2"/>
  <c r="R171" i="2" s="1"/>
  <c r="P177" i="2"/>
  <c r="R177" i="2" s="1"/>
  <c r="P174" i="2"/>
  <c r="P145" i="2" l="1"/>
  <c r="O97" i="2" l="1"/>
  <c r="O93" i="2"/>
  <c r="O99" i="2"/>
  <c r="O167" i="2" l="1"/>
  <c r="R167" i="2" s="1"/>
  <c r="O109" i="2" l="1"/>
  <c r="O102" i="2"/>
  <c r="O146" i="2"/>
  <c r="R146" i="2" s="1"/>
  <c r="O118" i="2"/>
  <c r="O163" i="2"/>
  <c r="R163" i="2" s="1"/>
  <c r="O15" i="2"/>
  <c r="O160" i="2"/>
  <c r="R160" i="2" s="1"/>
  <c r="O11" i="2"/>
  <c r="O192" i="2"/>
  <c r="R192" i="2" s="1"/>
  <c r="O159" i="2"/>
  <c r="O191" i="2"/>
  <c r="R191" i="2" s="1"/>
  <c r="O108" i="2"/>
  <c r="O147" i="2" l="1"/>
  <c r="R147" i="2" s="1"/>
  <c r="O133" i="2"/>
  <c r="R133" i="2" s="1"/>
  <c r="O119" i="2"/>
  <c r="R119" i="2" s="1"/>
  <c r="O80" i="2"/>
  <c r="O59" i="2"/>
  <c r="O116" i="2" l="1"/>
  <c r="R116" i="2" s="1"/>
  <c r="O115" i="2"/>
  <c r="O127" i="2"/>
  <c r="R127" i="2" s="1"/>
  <c r="O124" i="2"/>
  <c r="R124" i="2" s="1"/>
  <c r="O123" i="2"/>
  <c r="R123" i="2" s="1"/>
  <c r="O69" i="2"/>
  <c r="O168" i="2" l="1"/>
  <c r="R168" i="2" s="1"/>
  <c r="O136" i="2"/>
  <c r="O179" i="2"/>
  <c r="R179" i="2" s="1"/>
  <c r="O111" i="2"/>
  <c r="R111" i="2" s="1"/>
  <c r="O18" i="2" l="1"/>
  <c r="O29" i="2"/>
  <c r="O17" i="2"/>
  <c r="O55" i="2"/>
  <c r="O170" i="2"/>
  <c r="R170" i="2" s="1"/>
  <c r="N11" i="2"/>
  <c r="R11" i="2" s="1"/>
  <c r="O178" i="2"/>
  <c r="R178" i="2" s="1"/>
  <c r="O138" i="2"/>
  <c r="O175" i="2"/>
  <c r="R175" i="2" s="1"/>
  <c r="O150" i="2"/>
  <c r="R150" i="2" s="1"/>
  <c r="O105" i="2"/>
  <c r="R105" i="2" s="1"/>
  <c r="O145" i="2"/>
  <c r="R145" i="2" s="1"/>
  <c r="O71" i="2"/>
  <c r="O39" i="2" l="1"/>
  <c r="R39" i="2" s="1"/>
  <c r="O57" i="2" l="1"/>
  <c r="O81" i="2"/>
  <c r="N108" i="2"/>
  <c r="R108" i="2" s="1"/>
  <c r="O84" i="2"/>
  <c r="O60" i="2"/>
  <c r="O155" i="2"/>
  <c r="R155" i="2" s="1"/>
  <c r="O157" i="2"/>
  <c r="R157" i="2" s="1"/>
  <c r="O142" i="2" l="1"/>
  <c r="R142" i="2" s="1"/>
  <c r="O174" i="2" l="1"/>
  <c r="R174" i="2" s="1"/>
  <c r="O106" i="2" l="1"/>
  <c r="O23" i="2"/>
  <c r="O90" i="2"/>
  <c r="O52" i="2" l="1"/>
  <c r="O16" i="2" l="1"/>
  <c r="R16" i="2" s="1"/>
  <c r="O44" i="2" l="1"/>
  <c r="O141" i="2"/>
  <c r="R141" i="2" s="1"/>
  <c r="O53" i="2" l="1"/>
  <c r="R53" i="2" s="1"/>
  <c r="O4" i="2"/>
  <c r="O61" i="2"/>
  <c r="N159" i="2"/>
  <c r="R159" i="2" s="1"/>
  <c r="O98" i="2"/>
  <c r="O143" i="2"/>
  <c r="R143" i="2" s="1"/>
  <c r="O5" i="2"/>
  <c r="O19" i="2"/>
  <c r="R19" i="2" s="1"/>
  <c r="O77" i="2" l="1"/>
  <c r="O156" i="2" l="1"/>
  <c r="R156" i="2" s="1"/>
  <c r="O152" i="2"/>
  <c r="M152" i="2"/>
  <c r="R152" i="2" s="1"/>
  <c r="O148" i="2"/>
  <c r="R148" i="2" s="1"/>
  <c r="O144" i="2"/>
  <c r="R144" i="2" s="1"/>
  <c r="O140" i="2"/>
  <c r="R140" i="2" s="1"/>
  <c r="O139" i="2"/>
  <c r="R139" i="2" s="1"/>
  <c r="N138" i="2"/>
  <c r="R138" i="2" s="1"/>
  <c r="O137" i="2"/>
  <c r="N137" i="2"/>
  <c r="N136" i="2"/>
  <c r="M136" i="2"/>
  <c r="M135" i="2"/>
  <c r="R135" i="2" s="1"/>
  <c r="O134" i="2"/>
  <c r="M134" i="2"/>
  <c r="R134" i="2" s="1"/>
  <c r="O130" i="2"/>
  <c r="N130" i="2"/>
  <c r="R130" i="2" s="1"/>
  <c r="N129" i="2"/>
  <c r="R129" i="2" s="1"/>
  <c r="O128" i="2"/>
  <c r="R128" i="2" s="1"/>
  <c r="N126" i="2"/>
  <c r="R126" i="2" s="1"/>
  <c r="O125" i="2"/>
  <c r="R125" i="2" s="1"/>
  <c r="O122" i="2"/>
  <c r="R122" i="2" s="1"/>
  <c r="O121" i="2"/>
  <c r="N121" i="2"/>
  <c r="R121" i="2" s="1"/>
  <c r="O120" i="2"/>
  <c r="N120" i="2"/>
  <c r="N118" i="2"/>
  <c r="R118" i="2" s="1"/>
  <c r="O117" i="2"/>
  <c r="N117" i="2"/>
  <c r="N115" i="2"/>
  <c r="R115" i="2" s="1"/>
  <c r="O114" i="2"/>
  <c r="N114" i="2"/>
  <c r="O113" i="2"/>
  <c r="R113" i="2" s="1"/>
  <c r="N112" i="2"/>
  <c r="R112" i="2" s="1"/>
  <c r="N109" i="2"/>
  <c r="R109" i="2" s="1"/>
  <c r="N106" i="2"/>
  <c r="R106" i="2" s="1"/>
  <c r="N103" i="2"/>
  <c r="R103" i="2" s="1"/>
  <c r="N102" i="2"/>
  <c r="R102" i="2" s="1"/>
  <c r="O101" i="2"/>
  <c r="N101" i="2"/>
  <c r="O100" i="2"/>
  <c r="R100" i="2" s="1"/>
  <c r="N99" i="2"/>
  <c r="R99" i="2" s="1"/>
  <c r="N98" i="2"/>
  <c r="R98" i="2" s="1"/>
  <c r="N97" i="2"/>
  <c r="R97" i="2" s="1"/>
  <c r="N95" i="2"/>
  <c r="R95" i="2" s="1"/>
  <c r="N94" i="2"/>
  <c r="R94" i="2" s="1"/>
  <c r="N93" i="2"/>
  <c r="R93" i="2" s="1"/>
  <c r="O91" i="2"/>
  <c r="N91" i="2"/>
  <c r="N90" i="2"/>
  <c r="R90" i="2" s="1"/>
  <c r="O87" i="2"/>
  <c r="N87" i="2"/>
  <c r="N86" i="2"/>
  <c r="R86" i="2" s="1"/>
  <c r="N85" i="2"/>
  <c r="R85" i="2" s="1"/>
  <c r="N84" i="2"/>
  <c r="R84" i="2" s="1"/>
  <c r="O83" i="2"/>
  <c r="N83" i="2"/>
  <c r="N81" i="2"/>
  <c r="R81" i="2" s="1"/>
  <c r="N80" i="2"/>
  <c r="R80" i="2" s="1"/>
  <c r="N77" i="2"/>
  <c r="R77" i="2" s="1"/>
  <c r="N76" i="2"/>
  <c r="R76" i="2" s="1"/>
  <c r="N72" i="2"/>
  <c r="R72" i="2" s="1"/>
  <c r="N71" i="2"/>
  <c r="R71" i="2" s="1"/>
  <c r="N70" i="2"/>
  <c r="R70" i="2" s="1"/>
  <c r="N69" i="2"/>
  <c r="R69" i="2" s="1"/>
  <c r="N68" i="2"/>
  <c r="R68" i="2" s="1"/>
  <c r="O67" i="2"/>
  <c r="N67" i="2"/>
  <c r="R67" i="2" s="1"/>
  <c r="O66" i="2"/>
  <c r="N66" i="2"/>
  <c r="O65" i="2"/>
  <c r="N65" i="2"/>
  <c r="R65" i="2" s="1"/>
  <c r="N63" i="2"/>
  <c r="R63" i="2" s="1"/>
  <c r="O62" i="2"/>
  <c r="R62" i="2" s="1"/>
  <c r="N61" i="2"/>
  <c r="R61" i="2" s="1"/>
  <c r="N60" i="2"/>
  <c r="R60" i="2" s="1"/>
  <c r="N59" i="2"/>
  <c r="R59" i="2" s="1"/>
  <c r="O58" i="2"/>
  <c r="N58" i="2"/>
  <c r="N57" i="2"/>
  <c r="R57" i="2" s="1"/>
  <c r="O56" i="2"/>
  <c r="N56" i="2"/>
  <c r="N55" i="2"/>
  <c r="R55" i="2" s="1"/>
  <c r="N54" i="2"/>
  <c r="R54" i="2" s="1"/>
  <c r="N52" i="2"/>
  <c r="R52" i="2" s="1"/>
  <c r="N50" i="2"/>
  <c r="R50" i="2" s="1"/>
  <c r="N49" i="2"/>
  <c r="R49" i="2" s="1"/>
  <c r="O47" i="2"/>
  <c r="N47" i="2"/>
  <c r="M47" i="2"/>
  <c r="R47" i="2" s="1"/>
  <c r="N46" i="2"/>
  <c r="M46" i="2"/>
  <c r="N44" i="2"/>
  <c r="R44" i="2" s="1"/>
  <c r="N43" i="2"/>
  <c r="R43" i="2" s="1"/>
  <c r="O42" i="2"/>
  <c r="N42" i="2"/>
  <c r="R42" i="2" s="1"/>
  <c r="N38" i="2"/>
  <c r="R38" i="2" s="1"/>
  <c r="O37" i="2"/>
  <c r="O36" i="2"/>
  <c r="N36" i="2"/>
  <c r="O35" i="2"/>
  <c r="N35" i="2"/>
  <c r="M35" i="2"/>
  <c r="N34" i="2"/>
  <c r="M34" i="2"/>
  <c r="N33" i="2"/>
  <c r="M33" i="2"/>
  <c r="R33" i="2" s="1"/>
  <c r="N32" i="2"/>
  <c r="M32" i="2"/>
  <c r="N31" i="2"/>
  <c r="M31" i="2"/>
  <c r="R31" i="2" s="1"/>
  <c r="N30" i="2"/>
  <c r="M30" i="2"/>
  <c r="R30" i="2" s="1"/>
  <c r="N29" i="2"/>
  <c r="R29" i="2" s="1"/>
  <c r="N28" i="2"/>
  <c r="R28" i="2" s="1"/>
  <c r="N27" i="2"/>
  <c r="M27" i="2"/>
  <c r="R27" i="2" s="1"/>
  <c r="O24" i="2"/>
  <c r="N24" i="2"/>
  <c r="R24" i="2" s="1"/>
  <c r="M23" i="2"/>
  <c r="J23" i="2"/>
  <c r="O22" i="2"/>
  <c r="R22" i="2" s="1"/>
  <c r="N21" i="2"/>
  <c r="R21" i="2" s="1"/>
  <c r="N18" i="2"/>
  <c r="M18" i="2"/>
  <c r="R18" i="2" s="1"/>
  <c r="N17" i="2"/>
  <c r="M17" i="2"/>
  <c r="N15" i="2"/>
  <c r="M15" i="2"/>
  <c r="R15" i="2" s="1"/>
  <c r="O14" i="2"/>
  <c r="N14" i="2"/>
  <c r="M14" i="2"/>
  <c r="R14" i="2" s="1"/>
  <c r="N13" i="2"/>
  <c r="R13" i="2" s="1"/>
  <c r="N12" i="2"/>
  <c r="M12" i="2"/>
  <c r="O10" i="2"/>
  <c r="M10" i="2"/>
  <c r="R10" i="2" s="1"/>
  <c r="N9" i="2"/>
  <c r="M9" i="2"/>
  <c r="N8" i="2"/>
  <c r="M8" i="2"/>
  <c r="R8" i="2" s="1"/>
  <c r="O7" i="2"/>
  <c r="R7" i="2" s="1"/>
  <c r="N5" i="2"/>
  <c r="M5" i="2"/>
  <c r="R5" i="2" s="1"/>
  <c r="N4" i="2"/>
  <c r="M4" i="2"/>
  <c r="R4" i="2" s="1"/>
  <c r="O3" i="2"/>
  <c r="N3" i="2"/>
  <c r="M3" i="2"/>
  <c r="N2" i="2"/>
  <c r="R136" i="2" l="1"/>
  <c r="R34" i="2"/>
  <c r="R46" i="2"/>
  <c r="R12" i="2"/>
  <c r="R83" i="2"/>
  <c r="R120" i="2"/>
  <c r="R36" i="2"/>
  <c r="R56" i="2"/>
  <c r="R66" i="2"/>
  <c r="R87" i="2"/>
  <c r="R101" i="2"/>
  <c r="R137" i="2"/>
  <c r="R9" i="2"/>
  <c r="R17" i="2"/>
  <c r="R23" i="2"/>
  <c r="R32" i="2"/>
  <c r="R35" i="2"/>
  <c r="R58" i="2"/>
  <c r="R91" i="2"/>
  <c r="R2" i="2"/>
  <c r="R3" i="2"/>
</calcChain>
</file>

<file path=xl/sharedStrings.xml><?xml version="1.0" encoding="utf-8"?>
<sst xmlns="http://schemas.openxmlformats.org/spreadsheetml/2006/main" count="2342" uniqueCount="1169">
  <si>
    <t>CIG</t>
  </si>
  <si>
    <t>OGGETTO</t>
  </si>
  <si>
    <t>contratto</t>
  </si>
  <si>
    <t>REPERTORIO INTERNO</t>
  </si>
  <si>
    <t>forniture</t>
  </si>
  <si>
    <t>lavori</t>
  </si>
  <si>
    <t>servizi</t>
  </si>
  <si>
    <t>AGGIUDICATARIO</t>
  </si>
  <si>
    <t>TEMPI DI COMPLETAMENTO OPERA / SERVIZIO / FORNITURA</t>
  </si>
  <si>
    <t>RESIDUO</t>
  </si>
  <si>
    <t xml:space="preserve">STRUTTURA PROPONENTE </t>
  </si>
  <si>
    <t>PROCEDURA DI SCELTA DEL CONTRAENTE</t>
  </si>
  <si>
    <t xml:space="preserve">ELENCO DEGLI OPERATORI INVITATI A PRESENTARE OFFERTA </t>
  </si>
  <si>
    <t xml:space="preserve">IMPORTO AGGIUDICAZIONE </t>
  </si>
  <si>
    <t>DATA RICHIESTA CIG</t>
  </si>
  <si>
    <t xml:space="preserve">TIPOLOGIA AFFIDAMENTO </t>
  </si>
  <si>
    <t>CUP</t>
  </si>
  <si>
    <t>AVAGNINA LAURA</t>
  </si>
  <si>
    <t>GASCO MAURO</t>
  </si>
  <si>
    <t xml:space="preserve">“REVISIONE OPERE DI CAPTAZIONE LOC.RAY E REALIZZAZIONE INTERCONNESSIONE RETE DISTRIBUTIVA FRAZ.LURISIA-COMUNE ROCCAFORTE M.VÌ A SEGUITO DI EMERGENZA IDROPOTABILE ANNO 2017”  - CODICE INTERVENTO ALLEGATO B “CN_ATO4_526_18_56” – Comune di Roccaforte M.vì – CIG 7679565185 - CUP C64D18000040009 </t>
  </si>
  <si>
    <t>C64D18000040009</t>
  </si>
  <si>
    <t>REP 2018/92</t>
  </si>
  <si>
    <t>QMC</t>
  </si>
  <si>
    <t>RECUPERO POZZO LOC.FORNACE E COLLEGAMENTO A SERBATOIO 
S.STEFANO - COMUNE DI VICOFORTE A SEGUITO DI EMERGENZA IDROPOTABILE ANNO 2017</t>
  </si>
  <si>
    <t>REP.2019/01</t>
  </si>
  <si>
    <t>STUDI ACQUE PARASSITE RETE FOGNARIA</t>
  </si>
  <si>
    <t>Z4F2690333</t>
  </si>
  <si>
    <t>Z1D26E9BEA</t>
  </si>
  <si>
    <t>REP.2019/03</t>
  </si>
  <si>
    <t xml:space="preserve"> 	Acquedotto in località Garavagna - Villaggio Bersana - costruzione stazione di rilancio e revisione rete distributiva - COMUNE DI VILLANOVA M.Vì - lavori ELETTRICI </t>
  </si>
  <si>
    <t>emergenza idropotabile 2017 - “Recupero pozzo in località Fornace e collegamento al serbatoio Santo Stefano – Vicoforte” - spese a disposizione</t>
  </si>
  <si>
    <t>REP.2019/04</t>
  </si>
  <si>
    <t>REP.2019/05</t>
  </si>
  <si>
    <t>Z4E26F9083</t>
  </si>
  <si>
    <t>Z9826F8BF2</t>
  </si>
  <si>
    <t>C44D18000050009</t>
  </si>
  <si>
    <t>REP 2019/06</t>
  </si>
  <si>
    <t>emergenza idropotabile 2017 - OPERE DI CAPTAZIONE LOC.RAY E REALIZZAZIONE INTERCONNESSIONE RETE DISTRIBUTIVA FRAZ.LURISIA-COMUNE ROCCAFORTE  spese a disposizione</t>
  </si>
  <si>
    <t>REP 2019/08</t>
  </si>
  <si>
    <t>ZCB2733A32</t>
  </si>
  <si>
    <t>MATERIALE EDILE 2019</t>
  </si>
  <si>
    <t>REP 2019/09</t>
  </si>
  <si>
    <t>Z3227412D2</t>
  </si>
  <si>
    <t>REP 2019/11</t>
  </si>
  <si>
    <t>Affidamento diretto</t>
  </si>
  <si>
    <t>FAZIO ING. ALBERTO</t>
  </si>
  <si>
    <t>735912808B</t>
  </si>
  <si>
    <t>ESECUZIONE DEI LAVORI ATTINENTI ALLA MANUTENZIONE ORDINARIA E STRAORDINARIA PRINCIPALMENTE DELLE RETI IDRICHE E FOGNARIE, MA ANCHE DELLE STAZIONI DI SOLLEVAMENTO E DEGLI IMPIANTI DI DEPURAZIONE PER I COMUNI GESTITI DA MONDO ACQUA S.P.A NONCHÉ LA POSA IN OPERA DI TRATTI DI CONDOTTE ED IL RIPRISTINO DELLE PAVIMENTAZIONI STRADALI MANOMESSE A SEGUITO DI TALI LAVORI IN LINEA DI MASSIMA SPECIFICATI - COMUNI DI: FRABOSA SOPRANA, SAN MICHELE MONDOVÌ, ROCCAFORTE MONDOVÌ (PROV.CN - AATO4 CUNEESE), NONCHÉ COMUNI CHE SUBENTRERANNO NEL PERIODO CONTRATTUALE</t>
  </si>
  <si>
    <t>PROCEDURA NEGOZIATA</t>
  </si>
  <si>
    <t xml:space="preserve">GRISERI CARLO VINCENZO   </t>
  </si>
  <si>
    <t>ESECUZIONE DEI LAVORI ATTINENTI ALLA MANUTENZIONE ORDINARIA E STRAORDINARIA PRINCIPALMENTE DELLE RETI IDRICHE E FOGNARIE, MA ANCHE DELLE STAZIONI DI SOLLEVAMENTO E DEGLI IMPIANTI DI DEPURAZIONE PER I COMUNI GESTITI DA MONDO ACQUA S.P.A NONCHÉ LA POSA IN OPERA DI TRATTI DI CONDOTTE ED IL RIPRISTINO DELLE PAVIMENTAZIONI STRADALI MANOMESSE A SEGUITO DI TALI LAVORI IN LINEA DI MASSIMA SPECIFICATI - COMUNI DI: BENE VAGIENNA, BRIAGLIA, MONDOVÌ, VICOFORTE E VILLANOVA MONDOVÌ (PROV.CN - AATO4 CUNEESE), NONCHÉ COMUNI CHE SUBENTRERANNO NEL PERIODO CONTRATTUALE</t>
  </si>
  <si>
    <t>REP 2018/39</t>
  </si>
  <si>
    <t>MANUTENZIONE STRAORDINARIA SERBATOIO S.STEFANO - VICOFORTE</t>
  </si>
  <si>
    <t>REP 2018/40</t>
  </si>
  <si>
    <t>Z562246FD5</t>
  </si>
  <si>
    <t>DEDOMINICIS</t>
  </si>
  <si>
    <t>REP 2018/43</t>
  </si>
  <si>
    <t>Z682258832</t>
  </si>
  <si>
    <t>Comune di Benevagienna (CN), risoluzione criticità rete fognaria in via XX Settembre - PROGETTAZIONE DEFINITIVA ED ESECUTIVA - D.L. - C.S.E.</t>
  </si>
  <si>
    <t>REP 2018/44</t>
  </si>
  <si>
    <t>Z772258851</t>
  </si>
  <si>
    <t>Comune di Benevagienna (CN), risoluzione criticità rete fognaria in AREA CARABINIERI - PROGETTAZIONE PRELIMINARE,DEFINITIVA ED ESECUTIVA - D.L. - C.S.E.</t>
  </si>
  <si>
    <t>Acquisto espletato mediante adesione a contratto di soggetto aggregatore iscritto nell'elenco di cui alla delibera dell'Autorita'Nazionale Anticorruzione n. 784 del 20 luglio 2016</t>
  </si>
  <si>
    <t>BERRETTA IMPIANTI</t>
  </si>
  <si>
    <t>REP 2018/54UM</t>
  </si>
  <si>
    <t>ZAA250FDB7</t>
  </si>
  <si>
    <t>REP 2018/55UM</t>
  </si>
  <si>
    <t>Z77250FFA8</t>
  </si>
  <si>
    <t>FINANZIAMENTI UNIONE MONDOLE' - INTERVENTO 55 -Realizzazione recinzioni delle aree limitrofe alle vasche e delle aree di salvagurdia delle captazioni, posa in opera di impianti di allarme nelle cabine di acquedotto per evitare possibili inquinamenti dolosi.</t>
  </si>
  <si>
    <t>REP 2018/56UM</t>
  </si>
  <si>
    <t>ZD7251000A</t>
  </si>
  <si>
    <t>FINANZIAMENTI UNIONE MONDOLE' - INTERVENTO 56 - VASCA Loc GALLINI - Lavori di potenziamento e consolidamento vasca</t>
  </si>
  <si>
    <t>REP 2018/57UM</t>
  </si>
  <si>
    <t>Z64251006B</t>
  </si>
  <si>
    <t>FINANZIAMENTI UNIONE MONDOLE' - INTERVENTO 57 -Lavori di sistemazione viabilità di accesso alle vasche acquedotto Loc.Zindo Viglioni, Ripartitore e Loc.Prea</t>
  </si>
  <si>
    <t>BFG</t>
  </si>
  <si>
    <t>REP 2018/86</t>
  </si>
  <si>
    <t>Z7825140A3</t>
  </si>
  <si>
    <t>Rinnovo della Certificazione Sistema di Gestione Aziendale secondo la norma UNI EN ISO 9001:2015 - ANNO 2019-2020</t>
  </si>
  <si>
    <t>STUDIO TBA</t>
  </si>
  <si>
    <t>REP 2018/89</t>
  </si>
  <si>
    <t>ZDE255132F</t>
  </si>
  <si>
    <t xml:space="preserve">ESTENSIONE RETE FOGNARIA IN VIA VALLE ASILI NEL COMUNE DI ROCCAFORTE MONDOVI’. INCARICO DI PROGETTAZIONE, DIREZIONE LAVORI, CONTABILITA’ E COORDINAMENTO SICUREZZA. </t>
  </si>
  <si>
    <t>REP 2018/90</t>
  </si>
  <si>
    <t>Z6525545E9</t>
  </si>
  <si>
    <t>Incarico RSPP e Aggiornamento Documentazione Sicurezza</t>
  </si>
  <si>
    <t>REP 2018/91</t>
  </si>
  <si>
    <t>Z2925A0535</t>
  </si>
  <si>
    <t>CONVENZIONE DI INCARICO PROFESSIONALE PER PRESTAZIONI PROFESSIONALI DI PROGETTAZIONE, DIREZIONE LAVORI, CONTABILITA’ E COORDINAMENTO SICUREZZA PER LAVORI DI RIPRISTINO FUNZIONALE SERBATOIO E REVISIONE IMPIANTISTICA
IDRAULICA – SERBATOIO LOC. BRUSA NEL COMUNE DI FRABOSA SOPRANA</t>
  </si>
  <si>
    <t>ALPICLIMA</t>
  </si>
  <si>
    <t>Z5D267C561</t>
  </si>
  <si>
    <t>Prestazioni professionali elaborazioni contabili per conto società</t>
  </si>
  <si>
    <t>PERUCCA ROBERTO</t>
  </si>
  <si>
    <t>MICHELIS FABBRO</t>
  </si>
  <si>
    <t>IMPORTO  IMPEGNATO 2019</t>
  </si>
  <si>
    <t>IMPORTO IMPEGNATO
2018 O    LIQUIDATO  2019</t>
  </si>
  <si>
    <t>REP 2018/98</t>
  </si>
  <si>
    <t>REP.2018/15 MVI-VICO-BR-VILL-BENE</t>
  </si>
  <si>
    <t>REP.2018/15 FR-ROCC-SM</t>
  </si>
  <si>
    <t>IREN MERCATO</t>
  </si>
  <si>
    <t>   7780154230</t>
  </si>
  <si>
    <t>Acquedotto in località Garavagna - Villaggio Bersana - costruzione stazione di rilancio e revisione rete distributiva - COMUNE DI VILLANOVA M.Vì</t>
  </si>
  <si>
    <t>Z502759F2C</t>
  </si>
  <si>
    <t>CONSULENZA PROFESSIONALE PER PROGETTAZIONE, DL, CSE E PRESTAZIONI ANNESSE PER INTERVENTI EMERGENZA IDROPOTABILE EINTERVENTI COFINANZIATI</t>
  </si>
  <si>
    <t>ZF62759ED0</t>
  </si>
  <si>
    <t>Z992759E42</t>
  </si>
  <si>
    <t>Servizi di elaborazione stampa, recapito bollettazione e gestione web</t>
  </si>
  <si>
    <t>Z5E2759E0B</t>
  </si>
  <si>
    <t>BENEVAGIENNA - SOLLEVAMENTO FGN - CARABINIERI</t>
  </si>
  <si>
    <t>Z3D2759DF9</t>
  </si>
  <si>
    <t>BENEVAGIENNA - RETE FOGNARIA - VIA XX SETTEMBRE - Adeguamento rete fognaria</t>
  </si>
  <si>
    <t>Z892759DDE</t>
  </si>
  <si>
    <t>BENEVAGIENNA - POZZO LOC. TIRO A SEGNO</t>
  </si>
  <si>
    <t>REP 2019/13</t>
  </si>
  <si>
    <t>REP 2019/15</t>
  </si>
  <si>
    <t>REP 2019/20</t>
  </si>
  <si>
    <t>REP 2019/22</t>
  </si>
  <si>
    <t>REP 2019/23</t>
  </si>
  <si>
    <t>REP 2019/24</t>
  </si>
  <si>
    <t>SEJFULI IDRIZ</t>
  </si>
  <si>
    <t>NANOSOFT SRL
RICOH ITALIA S.R.L.
STAPROL S.P.A.
ONE TEAM SRL
INFORMATICA SYSTEM</t>
  </si>
  <si>
    <t>POSTEL</t>
  </si>
  <si>
    <t>Edenred Italia Srl</t>
  </si>
  <si>
    <t>CF 02778560041
MONDO ACQUA SPA</t>
  </si>
  <si>
    <t>7322366F90</t>
  </si>
  <si>
    <t>FORNITURA CONTATORI ACQUA</t>
  </si>
  <si>
    <t>WATERTECH SPA
SENSUS ITALIA SPA
MADDALENA SPA
ITRON ITALIA SPA
GREINER SPA</t>
  </si>
  <si>
    <t>MADDALENA SPA</t>
  </si>
  <si>
    <t>REP 2017/29</t>
  </si>
  <si>
    <t>Z941F4D5A1</t>
  </si>
  <si>
    <t xml:space="preserve">SERVIZI DI GESTIONE CONTABILITA' E CONSULENZA IN MATERIA FISCALE </t>
  </si>
  <si>
    <t xml:space="preserve">Studio Commercialisti Associati 
Dalmasso - Fia  - Zazza </t>
  </si>
  <si>
    <t>MANIFESTAZIONE INTERESSE</t>
  </si>
  <si>
    <t>Rossi Diego</t>
  </si>
  <si>
    <t>ZCA2106BCB</t>
  </si>
  <si>
    <t>Offerta manutenzione ANNUALE 2018-2019-2020 per gruppi elettrogeni</t>
  </si>
  <si>
    <t>GEMAP 2 Service Srl</t>
  </si>
  <si>
    <t>Z022053405</t>
  </si>
  <si>
    <t>SERVIZI DI PULIZIA LOCALI MONDO ACQUA</t>
  </si>
  <si>
    <t>6822273DC4</t>
  </si>
  <si>
    <t xml:space="preserve">ATTIVITA’ DI FORNITURA E SERVIZI INFORMATICI DI GESTIONE DEL CICLO IDRICO INTEGRATO </t>
  </si>
  <si>
    <t>PROCEDURA 
NEGOZIATA</t>
  </si>
  <si>
    <t>GIEMME INFORMATICA
PRAGMA PROGETTI
GRUPPO FORMULA SPA
DATA MANAGEMENT PA S.P.A
SINFO, GRUPPO SMEUP</t>
  </si>
  <si>
    <t>SINFO
SME UP SPA</t>
  </si>
  <si>
    <t>KONE SPA</t>
  </si>
  <si>
    <t>PROCEDURA NEGOZIATA PER AFFIDAMENTO DELLE ATTIVITA' DI SERVIZIO LETTURE CONTATORI ACQUA</t>
  </si>
  <si>
    <t>Full Service 2000 Soc. Coop.</t>
  </si>
  <si>
    <t>PROCEDURA NEGOZIATA PER AFFIDAMENTO DELLE ATTIVITA' DI SOSTITUZIONE CONTATORI ACQUA</t>
  </si>
  <si>
    <t>7242153DB4</t>
  </si>
  <si>
    <t>REP 2019/33</t>
  </si>
  <si>
    <t>Z6E2769197</t>
  </si>
  <si>
    <t>CONSULENZA PROFESSIONALE PER PROGETTAZIONE, DL, CSE E PRESTAZIONI ANNESSE PER RECUPERO POZZO LOC.FORNACE E COLLEGAMENTO A SERBATOIO 
S.STEFANO - COMUNE DI VICOFORTE A SEGUITO DI EMERGENZA IDROPOTABILE ANNO 2017</t>
  </si>
  <si>
    <t>REP 2019/34</t>
  </si>
  <si>
    <t>Z6A2769760</t>
  </si>
  <si>
    <t>CONSULENZA PROFESSIONALE PER PROGETTAZIONE, DL, CSE E PRESTAZIONI ANNESSE PER LAVORI DI REVISIONE OPERE DI CAPTAZIONE LOC.RAY E REALIZZAZIONE INTERCONNESSIONE RETE DISTRIBUTIVA FRAZ.LURISIA-COMUNE ROCCAFORTE M.VÌ A SEGUITO DI EMERGENZA IDROPOTABILE ANNO 2017</t>
  </si>
  <si>
    <t>REP 2019/35</t>
  </si>
  <si>
    <t>ZBF276B330</t>
  </si>
  <si>
    <t xml:space="preserve">Convenzione Di Incarico Professionale – AGGIORNAMENTO DELLA RETE FOGNARIA DEL COMUNE DI MONDOVI' </t>
  </si>
  <si>
    <t>IMPORTO 
CIG</t>
  </si>
  <si>
    <t>REP 2019/01</t>
  </si>
  <si>
    <t>GASCO MAURO/ARTIGIANA POZZI</t>
  </si>
  <si>
    <t>7824608EC6</t>
  </si>
  <si>
    <t>ENERGIA ELETTRICA MONDO ACQUA sino 30.05.2019</t>
  </si>
  <si>
    <t>REP 2019/43</t>
  </si>
  <si>
    <t>ENERGIA ELETTRICA 16 - LOTTO 1 MONDO ACQUA -18 MESI sino 30.11.2020</t>
  </si>
  <si>
    <t>REP 2019/45</t>
  </si>
  <si>
    <t>EDILSERVICE S.R.L.</t>
  </si>
  <si>
    <t>PROCEDURA NEGOZIATA SENZA BANDO</t>
  </si>
  <si>
    <t>Z8727EAB28</t>
  </si>
  <si>
    <t>CTI</t>
  </si>
  <si>
    <t>CTI / BARALE / SAMA / SAMAS / AC.MO / HIDROMISURE/BERRETTA</t>
  </si>
  <si>
    <t>BIG SRL/BERRETTA</t>
  </si>
  <si>
    <t>ZF72884DCF</t>
  </si>
  <si>
    <t>REP 2019/48</t>
  </si>
  <si>
    <t>REP 2019/50</t>
  </si>
  <si>
    <t>ATTIVITà SMALTIMENTO CER 19.08.05 triennio (2019/2020/2021)</t>
  </si>
  <si>
    <t>SAN CARLO/GALATERO/STR</t>
  </si>
  <si>
    <t>SAN CARLO</t>
  </si>
  <si>
    <t>REP 2019/51</t>
  </si>
  <si>
    <t>Z0528C0845</t>
  </si>
  <si>
    <t>BERRETTA IMPIANTI /PROMINENT/GRUNDFOS/ACMO</t>
  </si>
  <si>
    <t>BERRETTA IMPIANTI /GRUNDFOS/ACMO</t>
  </si>
  <si>
    <t>HACH/VWR</t>
  </si>
  <si>
    <t>TANARO SERVIZI/ECO</t>
  </si>
  <si>
    <t xml:space="preserve"> 	INTERVENTI STRAORDINARI PER EMERGENZA IDROPOTABILE INVERNO 2019 </t>
  </si>
  <si>
    <t xml:space="preserve">CTI </t>
  </si>
  <si>
    <t>Z2928ECE07</t>
  </si>
  <si>
    <t>GARELLI ENZO &amp; C. SRL/CAR IMPEX 4X4</t>
  </si>
  <si>
    <t>GARELLI ENZO &amp; C. SRL/CAR IMPEX 4X5</t>
  </si>
  <si>
    <t xml:space="preserve">Affidamento diretto </t>
  </si>
  <si>
    <t>GASCO MAURO/TERMOSANITARIA</t>
  </si>
  <si>
    <t>FIELDFISHER</t>
  </si>
  <si>
    <t>FERB / BASSO /ROVERE BECCARIA</t>
  </si>
  <si>
    <t>CONSULENZA IN MATERIA DI DIRITTO DEL LAVORO, PREVIDENZA E ASSISTENZA SOCIALE, DIRITTO SINDACALE, ELABORAZIONE BUSTE PAGA,SELEZIONE PERSONALE, DENUNCE PREVIDENZIALI E ASSICURATIVE, MATERIA FISCALE E TRIBUTARIA, REDAZIONE CONTABILITà AZIENDALE,CONTENZIOSO TRIBUTARIO  - FINO 31.12.2021</t>
  </si>
  <si>
    <t>STUDIO FILIPPI-LONGO</t>
  </si>
  <si>
    <t>REP 2019/56</t>
  </si>
  <si>
    <t>REP 2019/57</t>
  </si>
  <si>
    <t>ZAF293D82A</t>
  </si>
  <si>
    <t>REP 2019/58</t>
  </si>
  <si>
    <t>PREGLIASCO MARIO</t>
  </si>
  <si>
    <t>PROGETTAZIONE ATTIVITÀ DI MANUTENZIONE  ED IMPLEMENTAZIONE DEL SISTEMA DI TELECONTROLLO SINO 31.12.2021</t>
  </si>
  <si>
    <t>CONVENZIONE DI INCARICO PROFESSIONALE PER LA PROGETTAZIONE E CONSULENZA SU RETI IDRICHE E FOGNARIE E CONSULENZA DELLE PRATICHE DI SINISTRI GESTITE DALLA MONDO ACQUA S.P.A. – SINO 31.12.2021</t>
  </si>
  <si>
    <t>ZF029576C6</t>
  </si>
  <si>
    <t>Z1E2957AF6</t>
  </si>
  <si>
    <t>Z3C295B8F9</t>
  </si>
  <si>
    <t>REP 2019/59</t>
  </si>
  <si>
    <t>SNF</t>
  </si>
  <si>
    <t>Z59296958D</t>
  </si>
  <si>
    <t>REP 2019/36</t>
  </si>
  <si>
    <t>REP 2019/61</t>
  </si>
  <si>
    <t>REP 2019/62</t>
  </si>
  <si>
    <t>REP 2019/63</t>
  </si>
  <si>
    <t>REP 2019/65</t>
  </si>
  <si>
    <t>REP 2019/66</t>
  </si>
  <si>
    <t>REP 2019/67</t>
  </si>
  <si>
    <t>Z212971987</t>
  </si>
  <si>
    <t>SAISEF S.p.A.</t>
  </si>
  <si>
    <t>ZC52971B92</t>
  </si>
  <si>
    <t>PICCOLI LAVORI EDILI - FINO A 31.12.2021</t>
  </si>
  <si>
    <t>REP 2019/64UM</t>
  </si>
  <si>
    <t>PROTOCOLLO D’INTESA TRA L’UNIONE MONTANA MONDOLE’ E MONDO ACQUA-  Rifacimento acquedotto Via CAVE - VILLANOVA M.Vì</t>
  </si>
  <si>
    <t>Z682981CE1</t>
  </si>
  <si>
    <t>C43E18000070003</t>
  </si>
  <si>
    <t xml:space="preserve">C43E18000070003 </t>
  </si>
  <si>
    <t>Ghigliano Stefano
Bertino
RESGEOTEC / AVAGNINA STEFANO</t>
  </si>
  <si>
    <t>MANUTENZIONI STRAORDINARIE ACQ MONDOVì NCL.BARAVè - ACQ MONDOVì VIA RISORGIMENTO - DEP.MONDOVì LONGANA- CORSO STATUTO-CROTA</t>
  </si>
  <si>
    <t>Z4B2A679AA</t>
  </si>
  <si>
    <t>Z942A679BB</t>
  </si>
  <si>
    <t>ZAE2A679E0</t>
  </si>
  <si>
    <t>ATTIVITà DI TRINCIATURA, MANUTENZIONE AREE VERDI SITI MONDO ACQUA E SGOMBERO NEVE</t>
  </si>
  <si>
    <t>REP 2019/68</t>
  </si>
  <si>
    <t>Z272A82059</t>
  </si>
  <si>
    <t>REP 2019/69</t>
  </si>
  <si>
    <t>Z082A825B8</t>
  </si>
  <si>
    <t xml:space="preserve">MANUTENZIONE ESTINTORI PRESSO SITI MONDO ACQUA anni 2020-2021 e ACQUISTO/MANUTENZIONE DPI SICUREZZA/AMIANTO </t>
  </si>
  <si>
    <t>PIERALISI/ROBUSCHI/VERRA OLEOPNEUMATICA</t>
  </si>
  <si>
    <t>REP 2019/70</t>
  </si>
  <si>
    <t>DR.LONGO FABRIZIO - STUDIO REMSAS/PERUCCA ROBERTO</t>
  </si>
  <si>
    <t xml:space="preserve">	CONSULENZA PROFESSIONALE IN MATERIA DI CONTABILITà </t>
  </si>
  <si>
    <t>FORNITURA DI IPOCLORITO DI SODIO AL 14-15%-ANNO 2020</t>
  </si>
  <si>
    <t>affidamento</t>
  </si>
  <si>
    <t>ALPICLIMA/TERMICA PROGETTI</t>
  </si>
  <si>
    <t>NUOVO IMPIANTO CLIMATIZZAZIONE PIANO TERRA</t>
  </si>
  <si>
    <t>Z782B08CA9</t>
  </si>
  <si>
    <t>SOMMA URGENZA-Lavori di ripristino  e messa in sicurezza tratto condotta fognaria in VIA PIANFEI e RIPARAZIONE pozzetti.</t>
  </si>
  <si>
    <t>SOMMA URGENZA-Ripristino condotta acquedotto in subalveo in Località TORRETTA SAN MARTINO in Comune di Frabosa Soprana.</t>
  </si>
  <si>
    <t>SOMMA URGENZA-ripristino/sostituzione strumentazione di misura su Impianto Depurazione sito in Loc.S.S.28 nel Comune di Vicoforte.</t>
  </si>
  <si>
    <t>SOMMA URGENZA- ripristino/sostituzione riduttore su Impianto Depurazione sito in Loc.Longana in Comune di Mondovì .</t>
  </si>
  <si>
    <t>SOMMA URGENZA- ripristino strade di accesso e sostituzione strumentazione di misura su opere di captazione site in Loc.Dho nel Comune di Roccaforte Mondovì al servizio del Comune di Mondovì e sostituzione strumentazione di misura su serbatoio Cittadella sito nel Comune di Mondovì .</t>
  </si>
  <si>
    <t>SOMMA URGENZA-Ripristino/sostituzione strumentazione di misura su Impianto Depurazione sito in Loc.Molino in Comune di Benevagienna.</t>
  </si>
  <si>
    <t>SOMMA URGENZA-ripristino pompa di sollevamento  e ripristino/sostituzione strumentazione di misura su Impianto Depurazione sito in Loc.Bongiovanni in Comune di Villanova Mondovì.</t>
  </si>
  <si>
    <t xml:space="preserve">ZF22B08F26	</t>
  </si>
  <si>
    <t>ZC42B08F7F</t>
  </si>
  <si>
    <t>ZC12B08FAB</t>
  </si>
  <si>
    <t>ZB32B08FD1</t>
  </si>
  <si>
    <t>ZF62B0903A</t>
  </si>
  <si>
    <t>ZF72B0907F</t>
  </si>
  <si>
    <t>Z662B090A2</t>
  </si>
  <si>
    <t>Z082B090CA</t>
  </si>
  <si>
    <t>VERRA</t>
  </si>
  <si>
    <t xml:space="preserve">BARALE </t>
  </si>
  <si>
    <t>AC.MO/HIDROMISURE</t>
  </si>
  <si>
    <t>BERETTA/AC.MO</t>
  </si>
  <si>
    <t>ZE72B1D4A4</t>
  </si>
  <si>
    <t>AFFIDAMENTO DELLE ATTIVITA’ DI ANALISI CHIMICO-FISICHE E MICROBIOLOGICHE SU CAMPIONI DI ACQUE POTABILI, REFLUE, DI PROCESSO, RIFIUTI SOLIDI, LIQUIDI ED EVENTUALI CAMPIONAMENTI STRAORDINARI PER L’ANNO  2020</t>
  </si>
  <si>
    <t>REP 2019/73</t>
  </si>
  <si>
    <t>fornitura GAS 2020</t>
  </si>
  <si>
    <t xml:space="preserve">EGEA </t>
  </si>
  <si>
    <t>ZA22B1DF75</t>
  </si>
  <si>
    <t>SOMMA URGENZA-ripristino pompa di sollevamento su Impianto Depurazione  Loc.Rocchini in Comune di San Michele Mondovì .</t>
  </si>
  <si>
    <t>AC.MO / HIDROMISURE / CTI</t>
  </si>
  <si>
    <t>REP 2020/01</t>
  </si>
  <si>
    <t>MATERIALE EDILE 2020</t>
  </si>
  <si>
    <t>Z922B6AE89</t>
  </si>
  <si>
    <t>ZF529722A0</t>
  </si>
  <si>
    <t>PROGETTAZIONE INTERVENTI SU RETI ED IMPIANTI DEPURAZIONE RIFERITE A MANUTENZIONI STRAORDINARIE –  anno 2020</t>
  </si>
  <si>
    <t>AFFIDAMENTO PER ATTIVITÀ  DI ATTIVITÀ DI ATTIVITÀ DI SORVEGLIANZA SANITARIA E VISITE MEDICHE SINO 31.12.2021</t>
  </si>
  <si>
    <t>REP 2020/02</t>
  </si>
  <si>
    <t>Z482B6B60B</t>
  </si>
  <si>
    <t>CARBURANTE fino 31.12.2020</t>
  </si>
  <si>
    <t>Z412B6B719</t>
  </si>
  <si>
    <t>REP 2020/03</t>
  </si>
  <si>
    <t>Distributore Gallesio / 
ENI</t>
  </si>
  <si>
    <t>MATERIALE IDRAULICO PER MANUTENZIONI ORDINARIE E STRAORDINARIE DAL  01.01.2020 AL 30.06.2020</t>
  </si>
  <si>
    <t>FORNITURA BUONI PASTO AZIENDALI anno 2020</t>
  </si>
  <si>
    <t>SERVIZI DI CALIBRAZIONE/TARATURA STRUMENTI DI MISURA - 
IMPIANTI DI ACQUEDOTTO - anno 2020</t>
  </si>
  <si>
    <t>SERVIZI DI CALIBRAZIONE/TARATURA STRUMENTI DI MISURA - 
IMPIANTI DI DEPURAZIONE - anno 2020</t>
  </si>
  <si>
    <t>CONSULENZA ANTRICORRUZIONE E TRASPARENZA - ANNO 2020</t>
  </si>
  <si>
    <t>Fornitura cancelleria e materiale per ufficio ANNO 2020</t>
  </si>
  <si>
    <r>
      <t>SOMMA URGENZA-ripristino strade di accesso e pulizia opere di captazione site in Loc.Nasi</t>
    </r>
    <r>
      <rPr>
        <u/>
        <sz val="11"/>
        <rFont val="Calibri"/>
        <family val="2"/>
      </rPr>
      <t xml:space="preserve"> </t>
    </r>
    <r>
      <rPr>
        <sz val="11"/>
        <rFont val="Calibri"/>
        <family val="2"/>
      </rPr>
      <t>nel Comune di  Roburent, al servizio del Serbatoio S.Stefano sito nel Comune di Vicoforte.</t>
    </r>
  </si>
  <si>
    <t>Z0C2B6B880</t>
  </si>
  <si>
    <t>REP 2020/04</t>
  </si>
  <si>
    <t>REP 2020/05</t>
  </si>
  <si>
    <t>REP 2020/06</t>
  </si>
  <si>
    <t>REP 2020/07</t>
  </si>
  <si>
    <t>REP 2020/08</t>
  </si>
  <si>
    <t>REP 2020/09</t>
  </si>
  <si>
    <t>REP 2020/10</t>
  </si>
  <si>
    <t>REP 2020/11</t>
  </si>
  <si>
    <t>REP 2020/12</t>
  </si>
  <si>
    <t>REP 2020/13</t>
  </si>
  <si>
    <t>REP 2020/14</t>
  </si>
  <si>
    <t>REP 2020/15</t>
  </si>
  <si>
    <t>REP 2020/16</t>
  </si>
  <si>
    <t>REP 2020/17</t>
  </si>
  <si>
    <t>REP 2020/18</t>
  </si>
  <si>
    <t>REP 2020/19</t>
  </si>
  <si>
    <t>REP 2020/20</t>
  </si>
  <si>
    <t>REP 2020/21</t>
  </si>
  <si>
    <t>Z932B6B89C</t>
  </si>
  <si>
    <t>SMEUP</t>
  </si>
  <si>
    <t>Z262B6B8A5</t>
  </si>
  <si>
    <t>Z972B6B8B5</t>
  </si>
  <si>
    <t>TERMOSANITARIA
CENTRALTUBI
TERMOPLASTICA/EDILPLASTUBI/RESINCONDOTTE</t>
  </si>
  <si>
    <t>Z182B6B8CB</t>
  </si>
  <si>
    <t>LAVORI ORDINARIE E STRAORDINARI su IMPIANTI DI DEPURAZIONE - PRIMO QUADRIMESTRE 2020</t>
  </si>
  <si>
    <t>ZD92B6B8D9</t>
  </si>
  <si>
    <t>Z772B6B8E8</t>
  </si>
  <si>
    <t>B &amp; M di Renaudo Claudio &amp; C.
Emme 2</t>
  </si>
  <si>
    <t>B &amp; M di Renaudo Claudio &amp; C.
Emme 3</t>
  </si>
  <si>
    <t>Z152B6B8F7</t>
  </si>
  <si>
    <t>ZA32B6B900</t>
  </si>
  <si>
    <t>Z862B6B907</t>
  </si>
  <si>
    <t>ZA72B6B919</t>
  </si>
  <si>
    <t>Z6D2B6B927</t>
  </si>
  <si>
    <t>Z282B6B92F</t>
  </si>
  <si>
    <t>Z3E2B6B93B</t>
  </si>
  <si>
    <t>Z212B6B942</t>
  </si>
  <si>
    <t>Z872B6B94C</t>
  </si>
  <si>
    <t>MATERIALE IDRAULICO DI PICCOLA TAGLIA - ANNO 2020</t>
  </si>
  <si>
    <t>REP 2019/44</t>
  </si>
  <si>
    <t>78242474E1</t>
  </si>
  <si>
    <t>PROCEDURA NEGOZIATA PER AFFIDAMENTO DELLE ATTIVITA' DI CARICO, TRASPORTO E SMALTIMENTO RIFIUTI CODICI C.E.R. 19.08.05 (STATO LIQUIDO)/ C.E.R. 20.03.04 / C.E.R. 20.03.06 E SERVIZIO DI PULIZIA, DISOTTURAZIONE E SPURGO CONDOTTE E POZZETTI - SINO 31.12.2021</t>
  </si>
  <si>
    <t>BRASERVIZI  /EDILSERVICE /PGF /SACED /STIRANO</t>
  </si>
  <si>
    <t>ZF220995A7</t>
  </si>
  <si>
    <t>Medico competente come previsto dal dlgs.81/2008 e s.m.i. per la MONDO ACQUA S.P.A</t>
  </si>
  <si>
    <t>ZF01F56706</t>
  </si>
  <si>
    <t>CONVENZIONE DI INCARICO PROFESSIONALE PER LA PROGETTAZIONE E CONSULENZA SU RETI IDRICHE E FOGNARIE E CONSULENZA DELLE PRATICHE DI SINISTRI GESTITE DALLA MONDO ACQUA S.P.A..</t>
  </si>
  <si>
    <t>ZD31F7C6F1</t>
  </si>
  <si>
    <t xml:space="preserve">Lavorazioni in carpenteria e attività manutenzione sui siti gestiti da Mondo Acqua </t>
  </si>
  <si>
    <t>SMIC Srl/G.S.</t>
  </si>
  <si>
    <t>ZD22233821</t>
  </si>
  <si>
    <t>MANUTENZIONE ASCENSORI ANNO 2018-2019</t>
  </si>
  <si>
    <t>REP 2018/36</t>
  </si>
  <si>
    <t>ZCB223392F</t>
  </si>
  <si>
    <t>CARBURANTE</t>
  </si>
  <si>
    <t>Distributore Gallesio
ENI</t>
  </si>
  <si>
    <t>REP 2018/12</t>
  </si>
  <si>
    <t>Z47219A0D4</t>
  </si>
  <si>
    <t>H2O-VILLAGGIO BERSANA - VILLANOVA - PROGETTAZIONE PRELIMINARE, DEFINITIVA, ESECUTIVA, COORDINAMENTO SICUREZZA IN FASE DI PROGETTO ED ESECUZIONE, DIREZIONE LAVORI, COMPRESI RILIEVI TOPOGRAFICI E PRATICHE AUTORIZZATIVE ESCLUSE INDAGINI GEOLOGICHE</t>
  </si>
  <si>
    <t>FAZIO ING. ALBERTO/P.I. PREGLIASCO/ARCH.GERION STEFANO/ ABBONA ING.MAURO</t>
  </si>
  <si>
    <t>REP 2018/26</t>
  </si>
  <si>
    <t>MANUTENZIONE STRAORDINARIA RETE DISTRIBUTIVA ACQUEDOTTO NEL COMUNE DI MONDOVÌ - STRADA DI SANTA MARIA</t>
  </si>
  <si>
    <t>OPERTI DAVID/GASCO MAURO</t>
  </si>
  <si>
    <t>REP 2018/27</t>
  </si>
  <si>
    <t>ZDD21E30CC</t>
  </si>
  <si>
    <t>MANUTENZIONE RETE DISTRIBUTIVA ACQUEDOTTO NEL COMUNE DI MONDOVÌ
VIA VECCHIA DI PIANFEI</t>
  </si>
  <si>
    <t>OPERTI DAVID</t>
  </si>
  <si>
    <t>REP 2018/29</t>
  </si>
  <si>
    <t>ZF42221931</t>
  </si>
  <si>
    <t>MANUTENZIONE STRAORDINARIA RETE DISTRIBUTIVA ACQUEDOTTO VIA PEZZA  NEL COMUNE DI ROCCAFORTE MONDOVÌ – rete distributiva acquedotto nel Comune di Roccaforte 
Mondovì Via Monsignor Pezza</t>
  </si>
  <si>
    <t>IMPIANTO DI ALLARME PRESSO LA SEDE DELLA MONDO ACQUA DI VIA VENEZIA 6B</t>
  </si>
  <si>
    <t>REP 2018/58</t>
  </si>
  <si>
    <t>Z0B22C96A5</t>
  </si>
  <si>
    <t>SERVIZIO DI ASSISTENZA TECNICA TELECONTROLLO DEP.FRABOSA SOPRANA</t>
  </si>
  <si>
    <t>Elettrorizzi Srl</t>
  </si>
  <si>
    <t>REP 2018/65</t>
  </si>
  <si>
    <t>Z5F23538B6</t>
  </si>
  <si>
    <t xml:space="preserve">servizi di consulenza e supporto tecnico alle attività di depurazione e supporto nella organizzazione della manutenzione ordinaria e della manutenzione straordinaria degli impianti di depurazione gestiti da Mondo Acqua-ANNO 2018 </t>
  </si>
  <si>
    <t>TANARO SERVIZI</t>
  </si>
  <si>
    <t>REP 2018/70</t>
  </si>
  <si>
    <t xml:space="preserve">ZF124037C5 </t>
  </si>
  <si>
    <t>CONSULENZA PROFESSIONALE PER ATTIVITà DI START-UP  DEL NUOVO DATA-BASE INFORMATICO DELLE RETI IDRICHE E FOGNARIE GESTITO DA MONDO ACQUA S.P.A.</t>
  </si>
  <si>
    <t>REP 2018/71</t>
  </si>
  <si>
    <t>7544107A08</t>
  </si>
  <si>
    <t>Lavori di ripristino condotta fognaria in via Fontana e consolidamento sponda Torrente - SAN MICHELE M.Vì</t>
  </si>
  <si>
    <t>ROSSOMOTER</t>
  </si>
  <si>
    <t>REP 2018/72</t>
  </si>
  <si>
    <t>Z4E242F20D</t>
  </si>
  <si>
    <t>PROGETTAZIONE IMTERVENTI SU IMPIANTI DEPURAZIONE ANNO 2018</t>
  </si>
  <si>
    <t>REP 2018/75</t>
  </si>
  <si>
    <t>Z3C244BDF1</t>
  </si>
  <si>
    <t>LAVORI MANUTENZIONE ORDINARIA SU IMPIANTI ELETTRICI MONDO ACQUA - ANNO 2018-2019</t>
  </si>
  <si>
    <t>REP 2018/76</t>
  </si>
  <si>
    <t>ZCC2456F00</t>
  </si>
  <si>
    <t xml:space="preserve">MANUTENZIONE ESTINTORI PRESSO SITI MONDO ACQUA anno 2018-2019 e DPI SICUREZZA/AMIANTO </t>
  </si>
  <si>
    <t>SICHER/EMME2/SEP</t>
  </si>
  <si>
    <t>REP 2018/81</t>
  </si>
  <si>
    <t xml:space="preserve"> “REVISIONE OPERE DI CAPTAZIONE RIO CANÀ E SISTEMA DI ADDUZIONE AL SERVIZIO DEL COMUNE DI FRABOSA SOPRANA” - CODICE INTERVENTO ALLEGATO B “CN_ATO4_526_18_57” – COMUNE DI FRABOSA SOPRANA</t>
  </si>
  <si>
    <t>GRISERI CARLO VINCENZO</t>
  </si>
  <si>
    <t>REP 2018/88</t>
  </si>
  <si>
    <t>Z05253255E</t>
  </si>
  <si>
    <t>adeguamento del sistema informatico alla deliberazione AEEG-SI n. 655/2015 ed alla normativa per la fatturazione elettronica</t>
  </si>
  <si>
    <t>SMEUP
NANOSOFT</t>
  </si>
  <si>
    <t>REP 2018/94</t>
  </si>
  <si>
    <t>Z7D25ADDFB</t>
  </si>
  <si>
    <t>MATERIALE IDRAULICO PER MANUTENZIONI ORDINARIE E STRAORDINARIE FINO A 30.06.2019</t>
  </si>
  <si>
    <t>TERMOSANITARIA
CENTRALTUBI
TERMOPLASTICA</t>
  </si>
  <si>
    <t>REP 2018/95</t>
  </si>
  <si>
    <t>Z76261211F</t>
  </si>
  <si>
    <t>FORNITURA DI IPOCLORITO DI SODIO AL 14-15%</t>
  </si>
  <si>
    <t>REP 2018/96</t>
  </si>
  <si>
    <t>ZA22621364</t>
  </si>
  <si>
    <t>LAVORI SI RECINZIONE OPERE DI CAPTAZIONE E IMPIANTI DI DEPURAZIONE-ANNO 2019</t>
  </si>
  <si>
    <t>IDRIZ /</t>
  </si>
  <si>
    <t>REP 2018/97</t>
  </si>
  <si>
    <t>Z2B264D4A1</t>
  </si>
  <si>
    <t>INTERVENTI DI MANUTENZIONE STRAORDINARIA COLLETTORE FOGNARIO DI VIA VALLATA E RETE IDRICA DI VIA CURTI NEL COMUNE DI MONDOVI'</t>
  </si>
  <si>
    <t>REP.2019/02</t>
  </si>
  <si>
    <t>Z8526E84F6</t>
  </si>
  <si>
    <t>MATERIALE INFORMATICO - TABLET/STAMPANTI/SIMILI 2019</t>
  </si>
  <si>
    <t>SMEUP/NANOSOFT/ONE TEAM</t>
  </si>
  <si>
    <t>BERRETTA IMPIANTI/AC.MO/GRUNDFOS / BARALE</t>
  </si>
  <si>
    <t>REP 2019/07</t>
  </si>
  <si>
    <t>Z992731144</t>
  </si>
  <si>
    <t>MATERIALE IDRAULICO DI PICCOLA TAGLIA - ANNO 2019</t>
  </si>
  <si>
    <t>IDROTERM</t>
  </si>
  <si>
    <t>REP 2019/10</t>
  </si>
  <si>
    <t>Z0B274D344</t>
  </si>
  <si>
    <t>MATERIALE IDRAULICO PER MANUTENZIONI ORDINARIE E STRAORDINARIE DAL  01.07.2019 AL 31.12.2019</t>
  </si>
  <si>
    <t>TERMOSANITARIA
CENTRALTUBI
TERMOPLASTICA/Cerutti Spirito
Industrial Tecnica
Colorificio Voarino
Emme 2 / sasso/ACMO/EDILPLASTUBI/RESINCONDOTTE</t>
  </si>
  <si>
    <t>REP 2019/12</t>
  </si>
  <si>
    <t>ZA82759F5C</t>
  </si>
  <si>
    <t>LAVORI IMPIANTI DI DEPURAZIONE - PRIMO QUADRIMESTRE 2019</t>
  </si>
  <si>
    <t>REP 2019/14</t>
  </si>
  <si>
    <t>ZFA2759EE9</t>
  </si>
  <si>
    <t>PNEUMATCI E RIPARAZIONE AUTOMEZZI MONDO ACQUA ANNO 2019</t>
  </si>
  <si>
    <t>REP 2019/16</t>
  </si>
  <si>
    <t>Z972759EB3</t>
  </si>
  <si>
    <t>ATTIVITà DI ANALISI SU ACQUE REFLUE E POTABILI PRIMO E SECONDO QUADRIMESTRE 2019</t>
  </si>
  <si>
    <t>contratto/affidamento</t>
  </si>
  <si>
    <t>TECNOEDIL SPA/FLORAMO</t>
  </si>
  <si>
    <t>REP 2019/17</t>
  </si>
  <si>
    <t>Z932759E9A</t>
  </si>
  <si>
    <t>MATERIALE INFORMATICO - TABLET/STAMPANTI/SIMILI ANNO 2019</t>
  </si>
  <si>
    <t>REP 2019/18</t>
  </si>
  <si>
    <t>Z672759E82</t>
  </si>
  <si>
    <t>Fornitura cancelleria e materiale per ufficio ANNO 2019</t>
  </si>
  <si>
    <t>B &amp; M di Renaudo Claudio &amp; C.
Emme 2
Prette Tende Srl</t>
  </si>
  <si>
    <t>REP 2019/19</t>
  </si>
  <si>
    <t>Z6E2759E6F</t>
  </si>
  <si>
    <t>TELECONTROLLO ANNO 2019</t>
  </si>
  <si>
    <t>REP 2019/21</t>
  </si>
  <si>
    <t>ZE52759E27</t>
  </si>
  <si>
    <t>manutenzione impianti condizionamento e riscaldamento presso sede Mondo Acqua-ANNO 2019</t>
  </si>
  <si>
    <t>ALPICLIMA SRL</t>
  </si>
  <si>
    <t>REP 2019/25</t>
  </si>
  <si>
    <t>ZD52759DC3</t>
  </si>
  <si>
    <t>REP 2019/26</t>
  </si>
  <si>
    <t>Z9E2759DA5</t>
  </si>
  <si>
    <t>FORNITURA BUONI PASTO AZIENDALI</t>
  </si>
  <si>
    <t>REP 2019/27</t>
  </si>
  <si>
    <t>ZA12759D79</t>
  </si>
  <si>
    <t>RIPRISTINI DEFINITIVI PAVIMENTAZIONI</t>
  </si>
  <si>
    <t xml:space="preserve">S.A.I.S.E.F. </t>
  </si>
  <si>
    <t>REP 2019/28</t>
  </si>
  <si>
    <t>ZA82759D66</t>
  </si>
  <si>
    <t>consulenza profesionale GEOLOGICA E GEOTECNICA per progettazione interventi di realizzazione di nuovi punti di emungimento nel Campo Pozzi di DHO</t>
  </si>
  <si>
    <t>(GEOTECHNICAL SERVICE - MINETTI)</t>
  </si>
  <si>
    <t>REP 2019/29</t>
  </si>
  <si>
    <t>Z452759D30</t>
  </si>
  <si>
    <t>SMEUP/SINFO/NANOSOFT</t>
  </si>
  <si>
    <t>REP 2019/30</t>
  </si>
  <si>
    <t>Z0A2759CF9</t>
  </si>
  <si>
    <t>lavori ordinari su reti e impianti Mondo Acqua</t>
  </si>
  <si>
    <t>REP 2019/31</t>
  </si>
  <si>
    <t>ZCE2759CDB</t>
  </si>
  <si>
    <t>REALIZZAZIONE MEGASCHERMO PER CONTROL ROOM</t>
  </si>
  <si>
    <t>RICOH</t>
  </si>
  <si>
    <t>REP 2019/32</t>
  </si>
  <si>
    <t>ZD5275A1AF</t>
  </si>
  <si>
    <t>ANALISI GREGGE/GIARDIA E RADIOATTIVITà SU ACQUE POTABILI ANNO 2019</t>
  </si>
  <si>
    <t>NEOGAMMA/SMAT</t>
  </si>
  <si>
    <t>REP 2019/37</t>
  </si>
  <si>
    <t>78238068F3</t>
  </si>
  <si>
    <t xml:space="preserve">PROCEDURA NEGOZIATA PER AFFIDAMENTO DELLE ATTIVITA’ DI CARICO, TRASPORTO E SMALTIMENTO RIFIUTI CODICI C.E.R. 19.08.05 (STATO SOLIDO) /  C.E.R. 19.08.01 / C.E.R. 19.08.02  E SERVIZIO DI VIDEOISPEZIONE CONDOTTE FOGNARIE </t>
  </si>
  <si>
    <t>BRASERVIZI/EDILSERVICE/PGF /SACED /SISEA</t>
  </si>
  <si>
    <t>deserta: annullata</t>
  </si>
  <si>
    <t>REP 2019/39</t>
  </si>
  <si>
    <t>ZE3277C98A</t>
  </si>
  <si>
    <t>C84D18000020009</t>
  </si>
  <si>
    <t>CONSULENZA PROFESSIONALE PER PROGETTAZIONE PRELIMINARE, DEFINITIVA, ESECUTIVA, DIREZIONE LAVORI E COORDINAMENTO SICUREZZA DEI LAVORI DI ACQUEDOTTO SAN MICHELE MONDOVI’ – POTENZIAMENTO OPERA DI PRESA IN
LOC. FONTANILE A SEGUITO DI EMERGENZA IDROPOTABILE ANNO 2017</t>
  </si>
  <si>
    <t>REP 2019/41</t>
  </si>
  <si>
    <t>ZAB27A5A11</t>
  </si>
  <si>
    <t>SERVIZI DI CALIBRAZIONE/TARATURA STRUMENTI DI MISURA - 
IMPIANTI DI ACQUEDOTTO</t>
  </si>
  <si>
    <t>REP 2019/42</t>
  </si>
  <si>
    <t>ZCC27A5A23</t>
  </si>
  <si>
    <t>SERVIZI DI CALIBRAZIONE/TARATURA STRUMENTI DI MISURA - 
IMPIANTI DI DEPURAZIONE</t>
  </si>
  <si>
    <t>REP 2019/46</t>
  </si>
  <si>
    <t>Z1A283AF9B</t>
  </si>
  <si>
    <t xml:space="preserve">MANUTENZIONE STRAORDINARIA RETE - ACQUEDOTTO NEL COMUNE DI FRABOSA SOPRANA - SOSTITUZIONE CONDOTTA DISTRIBUZIONE – VIA MONDAGNOLA </t>
  </si>
  <si>
    <t>REP 2019/47</t>
  </si>
  <si>
    <t>Z3E287E219</t>
  </si>
  <si>
    <t>LAVORI IN ECONOMIA  IMPIANTO DEPURAZIONE ROCCAFORTE M.Vì - VIA GENERALE DHO</t>
  </si>
  <si>
    <t>VERRA OLEOPNEUMATICA</t>
  </si>
  <si>
    <t xml:space="preserve"> 	AFFIDAMENTO DELLE ATTIVITA’ DI CARICO e TRASPORTO RIFIUTI CODICI C.E.R. 19.08.05 (STATO SOLIDO) , ATTIVITà DI CARICO, TRASPORTO e SMALTIMENTO RIFIUTI CODICI C.E.R. 19.08.01 / C.E.R. 19.08.02 E SERVIZIO DI VIDEOISPEZIONE CONDOTTE FOGNARIE </t>
  </si>
  <si>
    <t>REP 2019/49</t>
  </si>
  <si>
    <t>Z02288E184</t>
  </si>
  <si>
    <t>LAVORI IMPIANTI DI DEPURAZIONE - SECONDO QUADRIMESTRE 2019</t>
  </si>
  <si>
    <t>CTI / BARALE / SAMA / SAMAS / AC.MO / HIDROMISURE/BERRETTA/OELLEBI/SAVI</t>
  </si>
  <si>
    <t>REP 2019/52</t>
  </si>
  <si>
    <t>Z6428C095D</t>
  </si>
  <si>
    <t>LAVORI IMPIANTI DI DEPURAZIONE - TERZO QUADRIMESTRE 2019</t>
  </si>
  <si>
    <t>VERRA OLEOPNEUMATICA/GS FABBRO/BARALE/MONDINO COSTRUZIONI/HIDROMISURE</t>
  </si>
  <si>
    <t>REP 2019/54</t>
  </si>
  <si>
    <t>Z5729249E8</t>
  </si>
  <si>
    <t>INTERVENTI DI MANUTENZIONE STRAORDINARIA ACQUEDOTTO E FOGNATURA SECONDO SEMETRE 2019</t>
  </si>
  <si>
    <t>REP 2019/55</t>
  </si>
  <si>
    <t>Z64292C11B</t>
  </si>
  <si>
    <t>CONSULENZA ANTRICORRUZIONE E TRASPARENZA - ANNO 2019</t>
  </si>
  <si>
    <t>FORNITURA POLIELETTROLITA</t>
  </si>
  <si>
    <t xml:space="preserve">LAVORI MANUTENZIONE ORDINARIA e URGENTE SU IMPIANTI ELETTRICI MONDO ACQUA </t>
  </si>
  <si>
    <t>ATTIVITA' DI RIPRISTINI DEFINITIVI PAVIMENTAZIONI</t>
  </si>
  <si>
    <t xml:space="preserve">	CONVENZIONE DI INCARICO PROFESSIONALE PER LA CONSULENZA PROFESSIONALE PER GESTIONE DEL DATA-BASE INFORMATICO DELLE RETI IDRICHE E FOGNARIE e PREDISPOSIZIONE ELABORATI CARTOGRAFICI AL SERVIZIO DEL SISTEMA IDRICO GESTITO DA MONDO ACQUA S.P.A.</t>
  </si>
  <si>
    <t>REP 2019/63bis</t>
  </si>
  <si>
    <t>Z2F2A4A938</t>
  </si>
  <si>
    <t>ATTIVITà DI ANALISI SU ACQUE REFLUE E POTABILI terzo QUADRIMESTRE 2019</t>
  </si>
  <si>
    <t>floramo</t>
  </si>
  <si>
    <t>REP 2019/71</t>
  </si>
  <si>
    <t>Z272ABE812</t>
  </si>
  <si>
    <t>MANUTENZIONE STRAORDINARIA DEPURATORE VICOFORTE - VASCA DISINFEZIONE</t>
  </si>
  <si>
    <t>MONDINO COSTRUZIONI/ HIDROMISURE/AC.MO</t>
  </si>
  <si>
    <t>REP 2019/72</t>
  </si>
  <si>
    <t>Z932AD0515</t>
  </si>
  <si>
    <t>REP 2020/22</t>
  </si>
  <si>
    <t>REP 2020/23</t>
  </si>
  <si>
    <t>SERVIZI DI GESTIONE CONTABILITA' E CONSULENZA IN MATERIA FISCALE - SINO approvazione bilancio 2021</t>
  </si>
  <si>
    <t xml:space="preserve">Studio Commercialisti Associati 
Dalmasso - Fia  </t>
  </si>
  <si>
    <t>Z102B77DAC</t>
  </si>
  <si>
    <t>7359214781</t>
  </si>
  <si>
    <t>C.T.I. S.R.L./BARALE/smic</t>
  </si>
  <si>
    <t>lavori ordinari su reti e impianti Mondo Acqua ANNO 2020</t>
  </si>
  <si>
    <t>Z942B8DEEC</t>
  </si>
  <si>
    <t>INTERVENTI DI MANUTENZIONE STRAORDINARIA ACQUEDOTTO E FOGNATURA primo SEMESTRE 2020</t>
  </si>
  <si>
    <t>GASCO MAURO/TERMOSANITARIA/CTI/TERMOPLASTICA</t>
  </si>
  <si>
    <t>AGGIORNAMENTO DELLA RETE FOGNARIA DEL COMUNE DI MONDOVI' Studi ai sensi dell' AUA - Atto di assenso 2639 del 28.06.2018 VERIFICA IDRAULICA E DIMENSIONALE INTERA RETE</t>
  </si>
  <si>
    <t>ZF32BD769E</t>
  </si>
  <si>
    <t>PROGETTAZIONE DEFINITIVA, ESECUTIVA, SICUREZZA PROGETTUALE DEI LAVORI DI ADEGUAMENTO E POTENZIAMENTO DELL’IMPIANTO DI DEPURAZIONE ACQUE REFLUE DEL COMUNE DI MONDOVÌ, LOCALITÀ LONGANA – LOTTO 2</t>
  </si>
  <si>
    <t>Z6E2BD79FD</t>
  </si>
  <si>
    <t>REP 2017/26</t>
  </si>
  <si>
    <t>zcf1f957db</t>
  </si>
  <si>
    <t xml:space="preserve">	IMPIANTO TELEFONICO E SISTEMI DI COMUNICAZIONI (CENTRALINO TELEFONICO)</t>
  </si>
  <si>
    <t>SISECO - IMPRESOFT/ESSEPI/BBBELL</t>
  </si>
  <si>
    <t>SISECO - IMPRESOFT</t>
  </si>
  <si>
    <t>BERRETTA IMPIANTI / QMC</t>
  </si>
  <si>
    <t>IMPORTO  IMPEGNATO 2020</t>
  </si>
  <si>
    <t>REP 2018/61</t>
  </si>
  <si>
    <t>ZBC2355E86</t>
  </si>
  <si>
    <r>
      <rPr>
        <b/>
        <sz val="11"/>
        <color theme="1"/>
        <rFont val="Calibri"/>
        <family val="2"/>
        <scheme val="minor"/>
      </rPr>
      <t>adeguamento al GDPR ai sensi REGOLAMENTO UE 2016/679</t>
    </r>
    <r>
      <rPr>
        <sz val="11"/>
        <color theme="1"/>
        <rFont val="Calibri"/>
        <family val="2"/>
        <scheme val="minor"/>
      </rPr>
      <t xml:space="preserve">
Prestazioni come responsabile Protezione dei dati personali - D.P.O</t>
    </r>
  </si>
  <si>
    <t>COSTA CUNIBERTI AVVOCATO ASSOCIATI</t>
  </si>
  <si>
    <t>FINANZIAMENTI UNIONE MONDOLE' - INTERVENTO 54 - MONITORAGGIO VASCHE ACQUEDOTTO E POTENZIAMENTO DELLE STESSE MEDIANTE PREDISPOSIZIONE DI IMPIANTI DI MONITORAGGIO DEI LIVELLI, DELLE PORTATE E DEI FLUSSI IDRICI NELLE CAPTAZIONI</t>
  </si>
  <si>
    <t>BUILDING (BIG)/BERRETTA IMPAINTI/PREGLIASCO MARIO</t>
  </si>
  <si>
    <t>IDRIZ SEJFULI</t>
  </si>
  <si>
    <t>Z952234229</t>
  </si>
  <si>
    <t>Ghigliano Stefano
Bertino</t>
  </si>
  <si>
    <t xml:space="preserve">	INDAGINI GEOLOGICHE SITI MONDO ACQUA 2018</t>
  </si>
  <si>
    <t>INDAGINI GEOLOGICHE SITI MONDO ACQUA 2019</t>
  </si>
  <si>
    <t>Full Service 2000 Soc. Coop.
Espert Soc. Coop./SILVER SERVICE</t>
  </si>
  <si>
    <t>TERMOSANITARIA
CENTRALTUBI
TERMOPLASTICA/EDILPLASTUBI/RESINCONDOTTE/ALPICLIMA</t>
  </si>
  <si>
    <t>Rossi Diego/AMBULATORIO BIOS</t>
  </si>
  <si>
    <t>ACQUISTO MATERIALI E SERVIZI PER MESSA IN SICUREZZA E DPI A SEGUITO DI EMERGENZA SANITARIA COVID-19</t>
  </si>
  <si>
    <t>ZB22CEE5D7</t>
  </si>
  <si>
    <t>Gasco Mauro
C.T.I. S.R.L./BARALE/SMIC</t>
  </si>
  <si>
    <t>REP 2020/24</t>
  </si>
  <si>
    <t>BUILDING (BIG) / SMIC SRL/IDRIZ</t>
  </si>
  <si>
    <t>CN_A16_622_19_9</t>
  </si>
  <si>
    <t>CN_A16_622_19_16</t>
  </si>
  <si>
    <t>CN_A16_622_19_10</t>
  </si>
  <si>
    <t>CN_A16_622_19_11</t>
  </si>
  <si>
    <t>CN_A16_622_19_12</t>
  </si>
  <si>
    <t>CN_A16_622_19_17</t>
  </si>
  <si>
    <t>CN_A16_622_19_13</t>
  </si>
  <si>
    <t>CN_A16_622_19_14</t>
  </si>
  <si>
    <t>CN_A16_622_19_15</t>
  </si>
  <si>
    <t>C63E19000270002</t>
  </si>
  <si>
    <t>C53E19000220002</t>
  </si>
  <si>
    <t>C63E19000280002</t>
  </si>
  <si>
    <t>C93E19000150002</t>
  </si>
  <si>
    <t>C83E19000150002</t>
  </si>
  <si>
    <t>C43E19000250002</t>
  </si>
  <si>
    <t>C43E19000260002</t>
  </si>
  <si>
    <t>C73E19000180002</t>
  </si>
  <si>
    <t>C73E19000190002</t>
  </si>
  <si>
    <t>REP 2020/25</t>
  </si>
  <si>
    <t>Z7A2D43367</t>
  </si>
  <si>
    <t>LAVORI ORDINARIE E STRAORDINARI su IMPIANTI DI DEPURAZIONE - SECONDO QUADRIMESTRE 2020</t>
  </si>
  <si>
    <t>PNEUMATCI E RIPARAZIONE AUTOMEZZI MONDO ACQUA ANNO 2020-2021</t>
  </si>
  <si>
    <t>REP 2020/26</t>
  </si>
  <si>
    <t>FLORAMO</t>
  </si>
  <si>
    <t>ANALISI GREGGE/GIARDIA E RADIOATTIVITà SU ACQUE POTABILI ANNO 2020-2021</t>
  </si>
  <si>
    <t>ZF72D57B3C</t>
  </si>
  <si>
    <t>REP 2020/27</t>
  </si>
  <si>
    <t>MATERIALE IDRAULICO PER MANUTENZIONI ORDINARIE E STRAORDINARIE DAL  01.07.2020 AL 31.12.2020</t>
  </si>
  <si>
    <t>ZA22D70BE3</t>
  </si>
  <si>
    <t>servizi di consulenza e supporto tecnico alle attività di depurazione e supporto nella organizzazione della manutenzione ordinaria e della manutenzione straordinaria degli impianti di depurazione gestiti da Mondo Acqua-ANNO 2019-2020-2021</t>
  </si>
  <si>
    <t>REP 2020/28</t>
  </si>
  <si>
    <t>REP 2020/30</t>
  </si>
  <si>
    <t>REP 2019/53 E 2020/29</t>
  </si>
  <si>
    <t>PIERALISI/ROBUSCHI/VERRA OLEOPNEUMATICA/HUBER</t>
  </si>
  <si>
    <t>INTERVENTI DI MANUTENZIONE STRAORDINARIA ACQUEDOTTO E FOGNATURA secondo  SEMESTRE 2020</t>
  </si>
  <si>
    <t>Z342D9AB46</t>
  </si>
  <si>
    <t>REP 2020/31</t>
  </si>
  <si>
    <t>Rinnovo della Certificazione Sistema di Gestione Aziendale secondo la norma UNI EN ISO 9001:2015 - ANNO 2021</t>
  </si>
  <si>
    <t>Z262DCECD2</t>
  </si>
  <si>
    <t>Z682DCECF6</t>
  </si>
  <si>
    <t>REP 2020/32</t>
  </si>
  <si>
    <t>REP 2020/33</t>
  </si>
  <si>
    <t>no cig</t>
  </si>
  <si>
    <t>CONSULENZA PROFESSIONALE IN MATERIA DI DIRITTO AMMINISTRATIVO, SOCIETARIO E CIVILE     - fino 31.12.2021</t>
  </si>
  <si>
    <t>STUDIO SCIOLLA VIALE</t>
  </si>
  <si>
    <t>REP 2020/34</t>
  </si>
  <si>
    <t xml:space="preserve">	ENERGIA ELETTRICA DIC.2020-NOV.2021</t>
  </si>
  <si>
    <t>Convenzione CONSIP</t>
  </si>
  <si>
    <t>83723498F4</t>
  </si>
  <si>
    <t>Affidamento diretto o
PROCEDURA NEGOZIATA</t>
  </si>
  <si>
    <t>Affidamento diretto/contratto</t>
  </si>
  <si>
    <t>GEMAP</t>
  </si>
  <si>
    <t>Offerta manutenzione ANNUALE 2021 per gruppi elettrogeni</t>
  </si>
  <si>
    <t>Z4C2DD7C68</t>
  </si>
  <si>
    <t>Z202D7EDA7</t>
  </si>
  <si>
    <t>PRESO DA PEISINO</t>
  </si>
  <si>
    <t>TERMOSANITARIA
CENTRALTUBI
TERMOPLASTICA/EDILPLASTUBI/RESINCONDOTTE / MONTICONE</t>
  </si>
  <si>
    <t>LAVORI ORDINARIE E STRAORDINARI su IMPIANTI DI DEPURAZIONE - TERZO QUADRIMESTRE 2020</t>
  </si>
  <si>
    <t>REP 2020/35</t>
  </si>
  <si>
    <t>REP 2020/36</t>
  </si>
  <si>
    <t>Z8E2E24331</t>
  </si>
  <si>
    <t>REP 2020/37</t>
  </si>
  <si>
    <t>Z062E437D5</t>
  </si>
  <si>
    <t>Z581F8197C</t>
  </si>
  <si>
    <t>REP.2017/22</t>
  </si>
  <si>
    <t>FAZIO - REDAZIONE PROGETTO DEFINITIVO RIO BOZZOLO</t>
  </si>
  <si>
    <t>AFFIDAMENTO DIRETTO</t>
  </si>
  <si>
    <t>VARIANTE E PROGETTAZIONE ESECUTIVA " REVISIONE RETE FOGNARIA AFFERENTE AL RIO BOZZOLO E RIMOZIONE AFFLUSSI ACQUE PARASSITE ALL'IMPIANTO DI DEPURAZIONE IN LOCALITA' LONGANA"</t>
  </si>
  <si>
    <t>C95E16000000002</t>
  </si>
  <si>
    <t>REP 2020/38</t>
  </si>
  <si>
    <t>REP 2020/39</t>
  </si>
  <si>
    <t>Z4C2E9A36F</t>
  </si>
  <si>
    <t>ZAB2E9A38C</t>
  </si>
  <si>
    <t>C54H20001760002</t>
  </si>
  <si>
    <t>REP 2020/40</t>
  </si>
  <si>
    <t>Affidamento diretto IN SOMMA URGENZA</t>
  </si>
  <si>
    <t>C57B20001000002</t>
  </si>
  <si>
    <t>REP 2020/41</t>
  </si>
  <si>
    <t>REP 2020/44</t>
  </si>
  <si>
    <t>REP 2020/45</t>
  </si>
  <si>
    <t>REP 2020/46</t>
  </si>
  <si>
    <t>Z392EAE4CF</t>
  </si>
  <si>
    <t>PDL 82 - SOSTITUZIONE POMPE DEL CLORO E STRUMENTI MISURATORI DI PORTATA, LIVELLO E TORBIDITà al servizio VASCHE DI STALLA ROSSA, PELATA, BRUSA E BERNIE (COMUNE DI FRABOSA SOPRANA) E DELLA VASCA DEL SERBATOIO DI S.STEFANO (COMUNE DI VICOFORTE</t>
  </si>
  <si>
    <t>PDL 83 - SERVIZI - RIPRISTINO FUNZIONALITà CONDOTTA FOGNARIA AFFERENTE AL DEPURATORE DI SAN MICHELE M.Vì - VIA ROCCHINI</t>
  </si>
  <si>
    <t>PDL 83 - LAVORI - RIPRISTINO FUNZIONALITà CONDOTTA FOGNARIA AFFERENTE AL DEPURATORE DI SAN MICHELE M.Vì - VIA ROCCHINI</t>
  </si>
  <si>
    <t>Z5B2EAE526</t>
  </si>
  <si>
    <t>EDILSERVICE</t>
  </si>
  <si>
    <t>Z872EAE53E</t>
  </si>
  <si>
    <t>Z792EAE564</t>
  </si>
  <si>
    <t xml:space="preserve">PDL 85- RIPRISTINO FUNZIONALITà FOSSE IMHOFF/IMPIANTI PRIMARI (&lt;2.000a.e.) DI DEPURAZIONE  NEL COMUNE DI SAN MICHELE M.Vì </t>
  </si>
  <si>
    <t>Z552EAE57E</t>
  </si>
  <si>
    <t>Z592EAE597</t>
  </si>
  <si>
    <t>PDL 81 - Approvvigionamenti effettuati mediante autobotti/cisterne e impianti di pompaggio alle utenze FRABOSA SOPRANA</t>
  </si>
  <si>
    <t>PDL 84 - LAVORI - RIPRISTINO FUNZIONALITà  DEPURATORE DI SAN MICHELE M.Vì - VIA ROCCHINI</t>
  </si>
  <si>
    <t>PDL 79 - FORNITURE - ALLACCIO PROVISIONALE DA CONDOTTE ALAC PER UTENZE COMUNE DI FRABOSA SOPRANA</t>
  </si>
  <si>
    <t>PDL 79 - LAVORI - ALLACCIO PROVISIONALE DA CONDOTTE ALAC PER UTENZE COMUNE DI FRABOSA SOPRANA</t>
  </si>
  <si>
    <t>C94H20001540002</t>
  </si>
  <si>
    <t>C84H20001780002</t>
  </si>
  <si>
    <t>MONDINO</t>
  </si>
  <si>
    <t>C84H20001790002</t>
  </si>
  <si>
    <t>C84H20001800002</t>
  </si>
  <si>
    <t>PDL 79 - PROGETTAZIONE - ALLACCIO PROVISIONALE DA CONDOTTE ALAC PER UTENZE COMUNE DI FRABOSA SOPRANA</t>
  </si>
  <si>
    <t>ZCE2EBCB2E</t>
  </si>
  <si>
    <t>PDL 86- PROGETTAZIONE - RIPRISTINO CONDOTTA DI ADDUZIONE AL SERVIZIO DEI COMUNI DI VICOFORTE, BRIAGLIA E MONDOVì POSATA SU STRADA MONTEGROSSO NEL COMUNE DI ROBURENT</t>
  </si>
  <si>
    <t>C24H20001680002</t>
  </si>
  <si>
    <t>Z852EBCC18</t>
  </si>
  <si>
    <t>C54H20001860002</t>
  </si>
  <si>
    <t>REP 2020/47</t>
  </si>
  <si>
    <t>REP 2020/48</t>
  </si>
  <si>
    <t>REP 2020/49</t>
  </si>
  <si>
    <t>ZDD2F3A05C</t>
  </si>
  <si>
    <t>REP 2020/50</t>
  </si>
  <si>
    <t>PDL 79 - LAVORI ELETTRICI- ALLACCIO PROVISIONALE DA CONDOTTE ALAC PER UTENZE COMUNE DI FRABOSA SOPRANA</t>
  </si>
  <si>
    <t>BERRETTA</t>
  </si>
  <si>
    <t>BERRETTA /VERRA/EDILSERVICE</t>
  </si>
  <si>
    <t>ACMO/PROMINENT/IVECO GARELLI</t>
  </si>
  <si>
    <t>REP 2020/51</t>
  </si>
  <si>
    <t>FORNITURA DI IPOCLORITO DI SODIO AL 14-15%-ANNO 2021</t>
  </si>
  <si>
    <t>Z512F3CDF7</t>
  </si>
  <si>
    <t>SERVIZI DI CALIBRAZIONE/TARATURA STRUMENTI DI MISURA - 
IMPIANTI DI ACQUEDOTTO - anno 2021</t>
  </si>
  <si>
    <t>SERVIZI DI CALIBRAZIONE/TARATURA STRUMENTI DI MISURA - 
IMPIANTI DI DEPURAZIONE - anno 2021</t>
  </si>
  <si>
    <t>REP 2020/52</t>
  </si>
  <si>
    <t>REP 2020/53</t>
  </si>
  <si>
    <t>Z832F40986</t>
  </si>
  <si>
    <t>Z372F409A1</t>
  </si>
  <si>
    <t>STUDIO TBA/CERTIQUALITY</t>
  </si>
  <si>
    <t>REP 2020/55</t>
  </si>
  <si>
    <t>AFFIDAMENTO DELLE ATTIVITA’ DI ANALISI CHIMICO-FISICHE E MICROBIOLOGICHE SU CAMPIONI DI ACQUE POTABILI, REFLUE, DI PROCESSO, RIFIUTI SOLIDI, LIQUIDI ED EVENTUALI CAMPIONAMENTI STRAORDINARI PER L’ANNO  2021</t>
  </si>
  <si>
    <t>Z102F704B5</t>
  </si>
  <si>
    <t xml:space="preserve">PROGETTAZIONE INTERVENTI SU RETI ED IMPIANTI RIFERITE A MANUTENZIONI </t>
  </si>
  <si>
    <t>REP 2020/56</t>
  </si>
  <si>
    <t>fornitura GAS 2021</t>
  </si>
  <si>
    <t>EGEA/SCR</t>
  </si>
  <si>
    <t>Z3D2FA8924</t>
  </si>
  <si>
    <t>SME.UP
RICOH ITALIA S.R.L.
STAPROL S.P.A.
ONE TEAM SRL
INFORMATICA SYSTEM                       ALMA TIPOGRAFICA                         Coop. ARCOBALENO    IMPRESOFT</t>
  </si>
  <si>
    <t>IDROTERM/Cerutti Spirito
Industrial Tecnica
Colorificio Voarino
Emme 2 / HACH / PROMINENT / TUTTO GIARDINO/GRUNDFOS</t>
  </si>
  <si>
    <t>PIERALISI/ROBUSCHI/VERRA OLEOPNEUMATICA/HUBER/HIDROMISURE</t>
  </si>
  <si>
    <t>C98H16000000002</t>
  </si>
  <si>
    <t>INDAGINI GEOLOGICHE/ARCHEOLOGICHE PER SITI MONDO ACQUA sino 31.12.2021</t>
  </si>
  <si>
    <t>Ghigliano Stefano
Bertino
RESGEOTEC / AVAGNINA STEFANO / STUDIO SINTESI Ingegner ia e paesaggio/DARDANELLI/STUDIUM</t>
  </si>
  <si>
    <t>REP 2020/57</t>
  </si>
  <si>
    <t>BERTOLOTTI</t>
  </si>
  <si>
    <t>SCR</t>
  </si>
  <si>
    <t>ZA62FEB0D1</t>
  </si>
  <si>
    <t>REP 2020/58</t>
  </si>
  <si>
    <t>REP 2020/59</t>
  </si>
  <si>
    <t>REP 2020/60</t>
  </si>
  <si>
    <t>FSC 14-20 - RETI AMMALORATE - Sostituzione rete distributiva acquedotto nel Comune di Mondovì - VIA BERTINI</t>
  </si>
  <si>
    <t>REP 2020/61</t>
  </si>
  <si>
    <t xml:space="preserve">FSC 14-20 - RETI AMMALORATE - Sostituzione rete distributiva acquedotto nel Comune di Mondovì - VIA S.MARIA PARTE ALTA </t>
  </si>
  <si>
    <t xml:space="preserve">FSC 14-20 - RETI AMMALORATE - Sostituzione rete distributiva acquedotto nel Comune di Mondovì -  VIA BOTTA </t>
  </si>
  <si>
    <t xml:space="preserve">FSC 14-20 - RETI AMMALORATE - Sostituzione rete distributiva acquedotto nel Comune di Mondovì -  VIA RESSIA   </t>
  </si>
  <si>
    <t xml:space="preserve">FSC 14-20 - RETI AMMALORATE - Sostituzione rete distributiva acquedotto nel Comune di Mondovì -  Cascina Pamparato </t>
  </si>
  <si>
    <t>FSC 14-20 - RETI AMMALORATE - Sostituzione rete distributiva acquedotto nel Comune di Mondovì - Via Vecchia di Cuneo – Truchè</t>
  </si>
  <si>
    <t>REP 2020/62</t>
  </si>
  <si>
    <t>REP 2020/63</t>
  </si>
  <si>
    <t>REP 2020/64</t>
  </si>
  <si>
    <t xml:space="preserve">PROTOCOLLO INTESA UNIONE MONDOLè- Sostituzione rete distributiva acquedotto nel Comune di ROCCAFORTE Mondovì -  VIA Cimitero   </t>
  </si>
  <si>
    <t xml:space="preserve">FSC 14-20 - RETI AMMALORATE - lavori di Manutenzione rete distributiva acquedotto nel Comune di Mondovì - Corso Statuto </t>
  </si>
  <si>
    <t>C92B17000280002</t>
  </si>
  <si>
    <t>Z802FF4E3C</t>
  </si>
  <si>
    <t>Z6B2FF4E75</t>
  </si>
  <si>
    <t>ZCE2FF4EAB</t>
  </si>
  <si>
    <t>Z4F2FF4EC1</t>
  </si>
  <si>
    <t>ZB22FF4EF7</t>
  </si>
  <si>
    <t>C95B20000160003</t>
  </si>
  <si>
    <t>Z5A2FF6F22</t>
  </si>
  <si>
    <t>REP 2021/01</t>
  </si>
  <si>
    <t>REP 2021/02</t>
  </si>
  <si>
    <t>REP 2021/03</t>
  </si>
  <si>
    <t>PROTOCOLLO INTESA UNIONE MONDOLè- lavori di rivestimento vasca acquedotto in Borgata Dho nel comune di Roccaforte Mondovì</t>
  </si>
  <si>
    <t>PROTOCOLLO INTESA UNIONE MONDOLè- Realizzazione e dualizzazione tubazione acque bianche per eliminare acque parassite da fognatura nera esistente in Loc Serro comune di Frabosa Soprana</t>
  </si>
  <si>
    <t>ZF1301C1CC</t>
  </si>
  <si>
    <t>Z64301C208</t>
  </si>
  <si>
    <r>
      <t xml:space="preserve">PROTOCOLLO INTESA UNIONE MONDOLè- CONSOLIDAMENTO VASCA DI OSSIDAZIONE DEPURATORE LOC.BONGIOVANNI - </t>
    </r>
    <r>
      <rPr>
        <b/>
        <sz val="11"/>
        <rFont val="Calibri"/>
        <family val="2"/>
        <scheme val="minor"/>
      </rPr>
      <t xml:space="preserve">CONSULENZE PROFESSIONISTI E PROGETTAZIONE    </t>
    </r>
  </si>
  <si>
    <t>Z2E301C22F</t>
  </si>
  <si>
    <t>REP 2021/04</t>
  </si>
  <si>
    <t>MATERIALE EDILE 2021</t>
  </si>
  <si>
    <t>Z113024598</t>
  </si>
  <si>
    <t>KONE SPA/ EUROFINS</t>
  </si>
  <si>
    <t>ALLACCIO PROVISIONALE IN SOMMA URGENZA DA CONDOTTE ALAC PER UTENZE COMUNE DI FRABOSA SOPRANA- fornitura ALAC di acqua potabile in Loc. Fontane</t>
  </si>
  <si>
    <t>REP 2021/05</t>
  </si>
  <si>
    <t>ALAC</t>
  </si>
  <si>
    <t>Z60303A162</t>
  </si>
  <si>
    <t>REP 2021/06</t>
  </si>
  <si>
    <t>BARALE ELETTROMECCANICA</t>
  </si>
  <si>
    <t>manutenzioni ordinarie e/o straordinarie dell’impiantistica idraulica sugli impianti gestiti da MONDO ACQUA S.P.A. - ANNO 2021</t>
  </si>
  <si>
    <t>ZA33046ACA</t>
  </si>
  <si>
    <t>REP 2020/29</t>
  </si>
  <si>
    <t>LAVORI DI REALIZZAZIONE NUOVA RETE FOGNARIA IN LOCALITA PIANA GATTA</t>
  </si>
  <si>
    <t>8388643F2E</t>
  </si>
  <si>
    <t>COINGE</t>
  </si>
  <si>
    <t>FERB / BASSO /ROVERE BECCARIA/COMOLI FERRARI</t>
  </si>
  <si>
    <t>REP 2021/07</t>
  </si>
  <si>
    <t>MATERIALE INFORMATICO - TABLET/STAMPANTI/SIMILI ANNO 2020</t>
  </si>
  <si>
    <t>MATERIALE INFORMATICO - TABLET/STAMPANTI/SIMILI ANNO 2021</t>
  </si>
  <si>
    <t>implementazione sistema informatico smarth2o ANNO 2019-2020</t>
  </si>
  <si>
    <t>implementazione sistema informatico smarth2o ANNO 2021</t>
  </si>
  <si>
    <t>SMEUP/NANOSOFT</t>
  </si>
  <si>
    <t>ZE130598D1</t>
  </si>
  <si>
    <t>ZF730598DD</t>
  </si>
  <si>
    <t>adeguamento del sistema informatico alle deliberazioni ARERA - anno 2020-2021</t>
  </si>
  <si>
    <t>REP 2021/08</t>
  </si>
  <si>
    <t>MATERIALE IDRAULICO DI PICCOLA TAGLIA - ANNO 2021</t>
  </si>
  <si>
    <t>MATERIALE IDRAULICO PER MANUTENZIONI ORDINARIE E STRAORDINARIE  1° QUADRIMESTRE 2021</t>
  </si>
  <si>
    <t>Fornitura cancelleria e materiale per ufficio ANNO 2021</t>
  </si>
  <si>
    <t>TELECONTROLLO ANNO 2021</t>
  </si>
  <si>
    <t>FORNITURA BUONI PASTO AZIENDALI anno 2021</t>
  </si>
  <si>
    <t>INTERVENTI DI MANUTENZIONE STRAORDINARIA ACQUEDOTTO E FOGNATURA 1° SEMESTRE 2021</t>
  </si>
  <si>
    <t>CONSULENZA ANTRICORRUZIONE E TRASPARENZA - ANNO 2021</t>
  </si>
  <si>
    <t>REP 2021/09</t>
  </si>
  <si>
    <t>REP 2021/10</t>
  </si>
  <si>
    <t>REP 2021/11</t>
  </si>
  <si>
    <t>REP 2021/12</t>
  </si>
  <si>
    <t>REP 2021/13</t>
  </si>
  <si>
    <t>REP 2021/14</t>
  </si>
  <si>
    <t>REP 2021/15</t>
  </si>
  <si>
    <t>REP 2021/16</t>
  </si>
  <si>
    <t>REP 2021/17</t>
  </si>
  <si>
    <t>Z50305B65E</t>
  </si>
  <si>
    <t>ZEE305B6CB</t>
  </si>
  <si>
    <t>Z1D305B754</t>
  </si>
  <si>
    <t>Z09305B7D2</t>
  </si>
  <si>
    <t>Z4C305B83B</t>
  </si>
  <si>
    <t>ZB3305B88A</t>
  </si>
  <si>
    <t>Z23305B8F2</t>
  </si>
  <si>
    <t>ZDA305B93F</t>
  </si>
  <si>
    <t>Z29305B995</t>
  </si>
  <si>
    <t>Incarico RSPP e Aggiornamento Documentazione Sicurezza-ANNO 2021 inclusi FORMAZIONE IN MATERIA DI SICUREZZA e verifiche siti ai sensi del Dlgs 81/08</t>
  </si>
  <si>
    <t>BIG SRL/BERRETTA/INFORMATICA SYSTEM</t>
  </si>
  <si>
    <t>IMPORTO  IMPEGNATO 2021</t>
  </si>
  <si>
    <t>ZDD30B6330</t>
  </si>
  <si>
    <t>RINNOVO
REP 2020/65</t>
  </si>
  <si>
    <t>RAZ</t>
  </si>
  <si>
    <t>INTERVENTI DI MANUTENZIONE ORDINARIA E STRAORDINARIA su IMPIANTI DI DEPURAZIONE 1° SEMESTRE 2021</t>
  </si>
  <si>
    <t>REP 2021/18</t>
  </si>
  <si>
    <t>REP 2021/19</t>
  </si>
  <si>
    <t>DIREZIONE LAVORI, CONTABILITÀ, SICUREZZA ESECUTIVA, DEI
LAVORI DI ADEGUAMENTO E POTENZIAMENTO DELL’IMPIANTO DI DEPURAZIONE
ACQUE REFLUE DEL COMUNE DI MONDOVÌ, LOCALITÀ LONGANA – LOTTO 2</t>
  </si>
  <si>
    <t>Z9D315EDD6</t>
  </si>
  <si>
    <t xml:space="preserve">QMC </t>
  </si>
  <si>
    <t>B &amp; M di Renaudo Claudio &amp; C./
Emme 2/UFFICIO MODERNO</t>
  </si>
  <si>
    <t>REP 2021/20</t>
  </si>
  <si>
    <t>C47H21000690003</t>
  </si>
  <si>
    <t>Z303175A9B</t>
  </si>
  <si>
    <t>SILVER SERVICE/SMIC/SF/ROBALDO/GEA SOLUTIONS</t>
  </si>
  <si>
    <t>LAVORI DI ESECUZIONE DEI LAVORI ATTINENTI ALLA MANUTENZIONE ORDINARIA PRINCIPALMENTE DELLE RETI IDRICHE E FOGNARIE, MA ANCHE DELLE STAZIONI DI SOLLEVAMENTO E DEGLI IMPIANTI DI DEPURAZIONE PER I COMUNI GESTITI DA MONDO ACQUA S.P.A NONCHÉ LA POSA IN OPERA DI TRATTI DI CONDOTTE ED IL RIPRISTINO DELLE PAVIMENTAZIONI STRADALI MANOMESSE A SEGUITO DI TALI LAVORI IN LINEA DI MASSIMA SPECIFICATI - COMUNI DI: FRABOSA SOPRANA, SAN MICHELE MONDOVÌ, ROCCAFORTE MONDOVÌ (PROV.CN – AATO4 CUNEESE), NONCHÉ COMUNI CHE SUBENTRERANNO NEL PERIODO CONTRATTUALE - FINO A 31.12.2021</t>
  </si>
  <si>
    <t xml:space="preserve">ZD73194F89	</t>
  </si>
  <si>
    <t>REP 2021/21</t>
  </si>
  <si>
    <t>REP 2021/22</t>
  </si>
  <si>
    <t>LAVORI DI ESECUZIONE DEI LAVORI ATTINENTI ALLA MANUTENZIONE ORDINARIA E STRAORDINARIA PRINCIPALMENTE DELLE RETI IDRICHE E FOGNARIE, MA ANCHE DELLE STAZIONI DI SOLLEVAMENTO E DEGLI IMPIANTI DI DEPURAZIONE PER I COMUNI GESTITI DA MONDO ACQUA S.P.A NONCHÉ LA POSA IN OPERA DI TRATTI DI CONDOTTE ED IL RIPRISTINO DELLE PAVIMENTAZIONI STRADALI MANOMESSE A SEGUITO DI TALI LAVORI IN LINEA DI MASSIMA SPECIFICATI - COMUNI DI: BENE VAGIENNA, BRIAGLIA, MONDOVÌ, VICOFORTE E VILLANOVA MONDOVÌ (PROV.CN – AATO4 CUNEESE), NONCHÉ COMUNI CHE SUBENTRERANNO NEL PERIODO CONTRATTUALE  - FINO A 31.12.2021</t>
  </si>
  <si>
    <t>Z273195024</t>
  </si>
  <si>
    <t>C85E18000250005</t>
  </si>
  <si>
    <t>PROTOCOLLO D'INTESA UNIONE MONTEREGALE - SOSTITUZIONE ACQUEDOTTI IN VIA DEL POGGIO/S.STEFANO E VIA TOMARA - ANNO 2021</t>
  </si>
  <si>
    <t>REP 2021/23</t>
  </si>
  <si>
    <t>Z9F319B619</t>
  </si>
  <si>
    <t>MATERIALE IDRAULICO PER MANUTENZIONI ORDINARIE E STRAORDINARIE  2° QUADRIMESTRE 2021</t>
  </si>
  <si>
    <t>REP 2021/24</t>
  </si>
  <si>
    <t>REP 2021/25</t>
  </si>
  <si>
    <t xml:space="preserve">CONVENZIONE DI INCARICO PROFESSIONALE PER LA CONSULENZA PROFESSIONALE PER PROGETTAZIONE DEFINITIVA, ESECUTIVA, COORDINAMENTO SICUREZZA ART.91 D.LGS. 81/2008 (PROGETTAZIONE - ESECUZIONE), DIREZIONE LAVORI E CONTABILITÀ, SPESE FORFETARIE, CERTIFICATO DI REGOLARE ESECUZIONE PER I LAVORI DI ALLACCIO IDRICO AL SERVIZIO DELLA STAZIONE ELETTRICA 132 KV DI TERNA - COMUNE DI SAN MICHELE MONDOVÌ (CN) </t>
  </si>
  <si>
    <t>Z0431AA9A3</t>
  </si>
  <si>
    <t>SAGLIETTO ENGINEERING</t>
  </si>
  <si>
    <t xml:space="preserve">SAGLIETTO ENGINEERING </t>
  </si>
  <si>
    <t>SAGLIETTO ENGINEERING  / BM TECNOLOGIE</t>
  </si>
  <si>
    <t>SAGLIETTO ENGINEERING  /</t>
  </si>
  <si>
    <t>FAZIO ING. ALBERTO/RESGEOTEC GALLIANO</t>
  </si>
  <si>
    <t>FAZIO ING. ALBERTO/</t>
  </si>
  <si>
    <t>FAZIO ING. ALBERTO/GASCO MAURO</t>
  </si>
  <si>
    <t>GRISERI CARLO VINCENZO/FAZIO ING. ALBERTO</t>
  </si>
  <si>
    <t>FAZIO ING. ALBERTO/FERRUA LUIGI</t>
  </si>
  <si>
    <t>FAZIO ING.ALBERTO/ING.PRIVITERA/ARCH. GERION/PRUCCA ROBERTO</t>
  </si>
  <si>
    <t>FAZIO ING.ALBERTO</t>
  </si>
  <si>
    <t>TEMOSANITARIA / GRISERI CARLO VINCENZO</t>
  </si>
  <si>
    <t>AC.MO/GRISERI CARLO VINCENZO</t>
  </si>
  <si>
    <t>CTI / BARALE / SAMA / SAMAS / AC.MO / HIDROMISURE/BERRETTA/GRISERI CARLO VINCENZO</t>
  </si>
  <si>
    <t>GASCO MAURO/TERMOSANITARIA/CTI/TERMOPLASTICA/GRISERI CARLO VINCENZO/EDILPLASTUBI</t>
  </si>
  <si>
    <t>CTI / BARALE / SAMA / SAMAS / AC.MO / HIDROMISURE/BERRETTA/GRISERI CARLO VINCENZO/MONTALDO/GS CARPENTERIA/BERRETTA</t>
  </si>
  <si>
    <t>GRISERI CARLO VINCENZO/EDILSERVICE</t>
  </si>
  <si>
    <t>GASCO MAURO/BERRETTA IMPIANTI/AC.MO</t>
  </si>
  <si>
    <t>EDILPLASTUBI/CONDORNO DANIELE -NUOVA PUBLITUTTO/F.LLI BASSO S.a.s/GASCO MAURO</t>
  </si>
  <si>
    <t>IDROTEK / TERMOSANITARIA/IDROCENTRO/GASCO MAURO/MENGARELLI/GALLESIO</t>
  </si>
  <si>
    <t>SISEA/GASCO MAURO/GRISERI CARLO VINCENZO</t>
  </si>
  <si>
    <t>APPENDINO ING. ROSSANA</t>
  </si>
  <si>
    <t>CTI / BARALE / SAMA / SAMAS / AC.MO / HIDROMISURE/BERRETTA/GRISERI CARLO VINCENZO/SAGLIETTO ENGINEERING/ELETTROEDIL</t>
  </si>
  <si>
    <t>8758671BF3</t>
  </si>
  <si>
    <t xml:space="preserve">	ENERGIA ELETTRICA DIC.2021-NOV.2022</t>
  </si>
  <si>
    <t>Z702236645</t>
  </si>
  <si>
    <t>REP 2021/26</t>
  </si>
  <si>
    <r>
      <rPr>
        <b/>
        <sz val="11"/>
        <color theme="1"/>
        <rFont val="Calibri"/>
        <family val="2"/>
        <scheme val="minor"/>
      </rPr>
      <t>adeguamento al GDPR ai sensi REGOLAMENTO UE 2016/679</t>
    </r>
    <r>
      <rPr>
        <sz val="11"/>
        <color theme="1"/>
        <rFont val="Calibri"/>
        <family val="2"/>
        <scheme val="minor"/>
      </rPr>
      <t xml:space="preserve">
Prestazioni come responsabile Protezione dei dati personali - D.P.O - da 25/05/2021 a 24/05/2022</t>
    </r>
  </si>
  <si>
    <t>Z5E321E096</t>
  </si>
  <si>
    <t>REP 2021/27</t>
  </si>
  <si>
    <t>Z8D3237862</t>
  </si>
  <si>
    <t>Predisposizione Conti Annuali Separati esercizi 2018, 2019 e 2020 e secondo il TIUC</t>
  </si>
  <si>
    <t>UTILITEAM CO.SRL - MILANO</t>
  </si>
  <si>
    <t>REP 2021/28</t>
  </si>
  <si>
    <t>INTERVENTI DI MANUTENZIONE ORDINARIA E STRAORDINARIA su IMPIANTI DI DEPURAZIONE 2° SEMESTRE 2021</t>
  </si>
  <si>
    <t>IDROTERM/rizzo mauro/
Industrial Tecnica
Colorificio Voarino
Emme 2 / HACH / PROMINENT / TUTTO GIARDINO/GRUNDFOS/ENVIROGEN</t>
  </si>
  <si>
    <t>Z6A3255E16</t>
  </si>
  <si>
    <t>TELECONTROLLO ANNO 2020-2021</t>
  </si>
  <si>
    <t>Z8E2</t>
  </si>
  <si>
    <t>REP 2021/29</t>
  </si>
  <si>
    <t>MATERIALE IDRAULICO PER MANUTENZIONI ORDINARIE E STRAORDINARIE  3° QUADRIMESTRE 2021</t>
  </si>
  <si>
    <t>Z8432C1017</t>
  </si>
  <si>
    <t>Z9A2FF4D66 8871592D4E</t>
  </si>
  <si>
    <t xml:space="preserve"> 8871592D4E</t>
  </si>
  <si>
    <t>REP 2021/30</t>
  </si>
  <si>
    <t>CANCELLATO</t>
  </si>
  <si>
    <t>ZA632D1150</t>
  </si>
  <si>
    <t>STUDIO TBA/LAVORO E SICUREZZA S.a.s./CONFINDUSTRIA CUNEO</t>
  </si>
  <si>
    <t>Z203301615</t>
  </si>
  <si>
    <t>REP 2021/31</t>
  </si>
  <si>
    <t>REP 2021/32</t>
  </si>
  <si>
    <t>INTERVENTI DI MANUTENZIONE STRAORDINARIA ACQUEDOTTO E FOGNATURA 2° SEMESTRE 2021</t>
  </si>
  <si>
    <t>7920512545</t>
  </si>
  <si>
    <t>REP 2021/33</t>
  </si>
  <si>
    <t>ATTIVITà SMALTIMENTO CER 19.08.05 anno 2022</t>
  </si>
  <si>
    <t>produzione di tutti i documenti tecnico-amministrativi volti alla richiesta di autorizzazione di nr.15 sfiori fognari - comune di Mondovì</t>
  </si>
  <si>
    <t>REP 2021/34</t>
  </si>
  <si>
    <t>APPENDINO ING. ROSSANA/ FAZIO ING.ALBERTO</t>
  </si>
  <si>
    <t>ZC7331373B</t>
  </si>
  <si>
    <t>REP 2021/35</t>
  </si>
  <si>
    <t xml:space="preserve"> 	ESECUZIONE DEI LAVORI DI MANUTENZIONE ORDINARIA - PROROGA TEMPORANEA</t>
  </si>
  <si>
    <t>8946719A12</t>
  </si>
  <si>
    <t>REP 2021/36</t>
  </si>
  <si>
    <t>Z78338C20D</t>
  </si>
  <si>
    <t>FORNITURA POLIELETTROLITA 2022-2023</t>
  </si>
  <si>
    <t>REP 2021/37</t>
  </si>
  <si>
    <t>ZE6338C82B</t>
  </si>
  <si>
    <t>MATERIALE INFORMATICO - TABLET/STAMPANTI/SIMILI ANNO 2022-2023</t>
  </si>
  <si>
    <t>REP 2021/39</t>
  </si>
  <si>
    <t>Z143393449</t>
  </si>
  <si>
    <t>AFFIDAMENTO PER ATTIVITÀ  DI ATTIVITÀ DI ATTIVITÀ DI SORVEGLIANZA SANITARIA E VISITE MEDICHE ANNO 2022 E 2023</t>
  </si>
  <si>
    <t>SICHER/EMME2/SF/ROBALDO/RENAUDO</t>
  </si>
  <si>
    <t>CTI / BARALE / SAMA / SAMAS / AC.MO / HIDROMISURE/BERRETTA/GRISERI CARLO VINCENZO/SAGLIETTO ENGINEERING/ELETTROEDIL/PIERALISI/SCATI SRL</t>
  </si>
  <si>
    <t>SME.UP
RICOH ITALIA S.R.L.
STAPROL S.P.A.
ONE TEAM SRL
INFORMATICA SYSTEM                       ALMA TIPOGRAFICA                         Coop. ARCOBALENO    IMPRESOFT
LOGOSOFT SRL</t>
  </si>
  <si>
    <t>SME.UP
RICOH ITALIA S.R.L.
STAPROL S.P.A.
ONE TEAM SRL
INFORMATICA SYSTEM                       ALMA TIPOGRAFICA                         Coop. ARCOBALENO    
IMPRESOFT
LOGOSOFT SRL</t>
  </si>
  <si>
    <t>fornitura GAS 2022</t>
  </si>
  <si>
    <t>REP 2021/40</t>
  </si>
  <si>
    <t>heracomm</t>
  </si>
  <si>
    <t>ZBA33D753A</t>
  </si>
  <si>
    <t xml:space="preserve">AFFIDAMENTO DELLE ATTIVITA’ DI CARICO e TRASPORTO RIFIUTI CODICI C.E.R. 19.08.05 (STATO SOLIDO) , ATTIVITà DI CARICO E TRASPORTO RIFIUTI CODICI C.E.R. 19.08.01 / C.E.R. 19.08.02 E SERVIZIO DI VIDEOISPEZIONE CONDOTTE FOGNARIE fino al 30/06/2023 </t>
  </si>
  <si>
    <t>REP 2021/41</t>
  </si>
  <si>
    <t>Z0633E9FCC</t>
  </si>
  <si>
    <t>REP 2021/42</t>
  </si>
  <si>
    <t>ZE233FBF8B</t>
  </si>
  <si>
    <t xml:space="preserve">SERVIZI DI SERVIZIO PULIZIA LOCALI MONDO ACQUA s.p.a. E UFFICI DEPURATORE MONDOVì-LOC.LONGANA FINO AL 30.06.2023 </t>
  </si>
  <si>
    <t>SILVER SERVICE</t>
  </si>
  <si>
    <t>REP 2021/43</t>
  </si>
  <si>
    <t>FORNITURA DI IPOCLORITO DI SODIO AL 14-15%-ANNO 2022-2023</t>
  </si>
  <si>
    <t>APLICLIMA;NUOVA ALPICA;ADAS;Chimitex S.p.A. ;Univar ;ILARIO ORMEZZANO SAI S.P.A.;BRENNTAG S.p.A.;Mida s.a.s. Industrie Tecnochimiche;Unichimica S.r.l.</t>
  </si>
  <si>
    <t>NUOVA ALPICA</t>
  </si>
  <si>
    <t>ZE934073E0</t>
  </si>
  <si>
    <t>GASCO MAURO/TERMOSANITARIA/CTI/TERMOPLASTICA/ GS CARPENTERIA/GRISERI/QMC</t>
  </si>
  <si>
    <t>REP 2021/44</t>
  </si>
  <si>
    <t>REP 2021/45</t>
  </si>
  <si>
    <t>REP 2021/46</t>
  </si>
  <si>
    <t>CONVENZIONE DI INCARICO PROFESSIONALE PER LA PROGETTAZIONE E CONSULENZA SU RETI IDRICHE E FOGNARIE E CONSULENZA DELLE PRATICHE DI SINISTRI GESTITE DALLA MONDO ACQUA S.P.A. – SINO 30.06.2023</t>
  </si>
  <si>
    <t xml:space="preserve">	CONVENZIONE DI INCARICO PROFESSIONALE PER LA CONSULENZA PROFESSIONALE PER GESTIONE DEL DATA-BASE INFORMATICO DELLE RETI IDRICHE E FOGNARIE e PREDISPOSIZIONE ELABORATI CARTOGRAFICI AL SERVIZIO DEL SISTEMA IDRICO GESTITO DA MONDO ACQUA S.P.A.– SINO 30.06.2023</t>
  </si>
  <si>
    <t>LAVORI MANUTENZIONE ORDINARIA e URGENTE SU IMPIANTI ELETTRICI MONDO ACQUA – SINO 30.06.2023</t>
  </si>
  <si>
    <t>REP 2021/48</t>
  </si>
  <si>
    <t>REP 2021/49</t>
  </si>
  <si>
    <t>REP 2021/50</t>
  </si>
  <si>
    <t>Rinnovo della Certificazione Sistema di Gestione Aziendale secondo la norma UNI EN ISO 9001:2018  - SINO 30.06.2023</t>
  </si>
  <si>
    <r>
      <t xml:space="preserve">PROCEDURA NEGOZIATA PER AFFIDAMENTO  DELLA “ESECUZIONE DEI LAVORI ATTINENTI ALLA MANUTENZIONE ORDINARIA PRINCIPALMENTE DELLE RETI IDRICHE E FOGNARIE, MA ANCHE DELLE STAZIONI DI SOLLEVAMENTO E DEGLI IMPIANTI DI DEPURAZIONE PER I COMUNI GESTITI DA MONDO ACQUA S.P.A NONCHÉ LA POSA IN OPERA DI TRATTI DI CONDOTTE ED IL RIPRISTINO DELLE PAVIMENTAZIONI STRADALI MANOMESSE A SEGUITO DI TALI LAVORI IN LINEA DI MASSIMA SPECIFICATI - COMUNI DI: </t>
    </r>
    <r>
      <rPr>
        <b/>
        <u/>
        <sz val="12"/>
        <rFont val="Calibri"/>
        <family val="2"/>
        <scheme val="minor"/>
      </rPr>
      <t xml:space="preserve">BENE VAGIENNA, BRIAGLIA, MONDOVÌ, VICOFORTE E VILLANOVA MONDOVÌ </t>
    </r>
    <r>
      <rPr>
        <sz val="11"/>
        <rFont val="Calibri"/>
        <family val="2"/>
        <scheme val="minor"/>
      </rPr>
      <t>(PROV.CN – AATO4 CUNEESE), NONCHÉ COMUNI CHE SUBENTRERANNO NEL PERIODO CONTRATTUALE - SINO 30.06.2023</t>
    </r>
  </si>
  <si>
    <r>
      <t xml:space="preserve">PROCEDURA NEGOZIATA PER AFFIDAMENTO  DELLA “ESECUZIONE DEI LAVORI ATTINENTI ALLA MANUTENZIONE ORDINARIA PRINCIPALMENTE DELLE RETI IDRICHE E FOGNARIE, MA ANCHE DELLE STAZIONI DI SOLLEVAMENTO E DEGLI IMPIANTI DI DEPURAZIONE PER I COMUNI GESTITI DA MONDO ACQUA S.P.A NONCHÉ LA POSA IN OPERA DI TRATTI DI CONDOTTE ED IL RIPRISTINO DELLE PAVIMENTAZIONI STRADALI MANOMESSE A SEGUITO DI TALI LAVORI IN LINEA DI MASSIMA SPECIFICATI - COMUNI DI: </t>
    </r>
    <r>
      <rPr>
        <b/>
        <u/>
        <sz val="12"/>
        <rFont val="Calibri"/>
        <family val="2"/>
        <scheme val="minor"/>
      </rPr>
      <t xml:space="preserve"> FRABOSA SOPRANA, SAN MICHELE MONDOVÌ, ROCCAFORTE MONDOVÌ </t>
    </r>
    <r>
      <rPr>
        <sz val="11"/>
        <rFont val="Calibri"/>
        <family val="2"/>
        <scheme val="minor"/>
      </rPr>
      <t>(PROV.CN – AATO4 CUNEESE), NONCHÉ COMUNI CHE SUBENTRERANNO NEL PERIODO CONTRATTUALE - SINO 30.06.2023</t>
    </r>
  </si>
  <si>
    <t>90206679E4</t>
  </si>
  <si>
    <t>TERMOSANITARIA
CENTRALTUBI
TERMOPLASTICA/EDILPLASTUBI/RESINCONDOTTE/SASSO</t>
  </si>
  <si>
    <t xml:space="preserve">MANUTENZIONE ESTINTORI PRESSO SITI MONDO ACQUA anni 2022-2023 e ACQUISTO/MANUTENZIONE DPI SICUREZZA/AMIANTO </t>
  </si>
  <si>
    <t>ZF5347BC0A</t>
  </si>
  <si>
    <t>REP 2021/47</t>
  </si>
  <si>
    <t>SERVIZI DI CALIBRAZIONE/TARATURA STRUMENTI DI MISURA - 
IMPIANTI DI ACQUEDOTTO E DEPURAZIONE - anno 2022</t>
  </si>
  <si>
    <t>HACH/VWR/ACMO/PROMINENT/BM TECNOLOGIE</t>
  </si>
  <si>
    <t xml:space="preserve"> 	AFFIDAMENTO DELLE ATTIVITA’ DI CARICO e TRASPORTO RIFIUTI CODICI C.E.R. 19.08.05 (STATO SOLIDO) , ATTIVITà DI CARICO, TRASPORTO e SMALTIMENTO RIFIUTI CODICI C.E.R. 19.08.01 / C.E.R. 19.08.02 E SERVIZIO DI VIDEOISPEZIONE CONDOTTE FOGNARIE -  - PROROGA TEMPORANEA</t>
  </si>
  <si>
    <t>Z1F348E15E</t>
  </si>
  <si>
    <t xml:space="preserve">S.P.A. IMPRESE STRADALI E FORNITURE -siglata SAISEF </t>
  </si>
  <si>
    <t>MARENCO DANIELE</t>
  </si>
  <si>
    <t xml:space="preserve"> - GIORDANO COSTRUZIONI S.R.L.
-	Ditta NUOVA IDRO S.R.L.
-	Ditta PREVE COSTRUZIONI S.P.A.
-	Ditta QMC SRL
-	Ditta S.P.A. IMPRESE STRADALI E FORNITURE 
-	Ditta MONDO SRL
-	Ditta BARBERA SRL
-	Ditta EULA &amp; BESSONE SRL
-	Ditta MARENCO DANIELE
-	Ditta PRATO CLAUDIO
</t>
  </si>
  <si>
    <t>FATTUR ENERGIA ELETTRICA VARIE</t>
  </si>
  <si>
    <t>POLIZZE ASSICURATIVE VARIE CDA + DIPENDENTI + COVID</t>
  </si>
  <si>
    <t>REALE MUTUA / CAGNA DE ANDREIS</t>
  </si>
  <si>
    <t>Z3F349D744</t>
  </si>
  <si>
    <t>AFFIDAMENTO DELLE ATTIVITA’ DI ANALISI CHIMICO-FISICHE E MICROBIOLOGICHE SU CAMPIONI DI ACQUE POTABILI, REFLUE, DI PROCESSO, RIFIUTI SOLIDI, LIQUIDI ED EVENTUALI CAMPIONAMENTI STRAORDINARI - anno 2022</t>
  </si>
  <si>
    <t>ACDA/FLORAMO</t>
  </si>
  <si>
    <t>Z4B34AD485</t>
  </si>
  <si>
    <t>LAVORI IN ECONOMIA  - ADEGUAMENTO E POTENZIAMENTO DELL’IMPIANTO DI DEPURAZIONE ACQUE REFLUE DEL COMUNE DI MONDOVÌ, LOCALITÀ LONGANA – LOTTO 2 - ANNO 2021</t>
  </si>
  <si>
    <t>ZA234B0A5D</t>
  </si>
  <si>
    <t>LAVORI IN ECONOMIA  - ADEGUAMENTO E POTENZIAMENTO DELL’IMPIANTO DI DEPURAZIONE ACQUE REFLUE DEL COMUNE DI MONDOVÌ, LOCALITÀ LONGANA – LOTTO 2 - ANNO 2022</t>
  </si>
  <si>
    <t>GASCO MAURO/ING.DEGIORGIO/ING.MONACO/ING.FIORE</t>
  </si>
  <si>
    <t>MATERIALE IDRAULICO PER MANUTENZIONI ORDINARIE E STRAORDINARIE  1° QUADRIMESTRE 2022</t>
  </si>
  <si>
    <t>Z4B34B96A7</t>
  </si>
  <si>
    <r>
      <t xml:space="preserve">INTERVENTI DI MANUTENZIONE ORDINARIA E STRAORDINARIA su IMPIANTI DI </t>
    </r>
    <r>
      <rPr>
        <b/>
        <u/>
        <sz val="11"/>
        <rFont val="Calibri"/>
        <family val="2"/>
        <scheme val="minor"/>
      </rPr>
      <t>DEPURAZIONE</t>
    </r>
    <r>
      <rPr>
        <sz val="11"/>
        <rFont val="Calibri"/>
        <family val="2"/>
        <scheme val="minor"/>
      </rPr>
      <t xml:space="preserve"> 1° SEMESTRE 2022</t>
    </r>
  </si>
  <si>
    <r>
      <t xml:space="preserve">INTERVENTI DI MANUTENZIONE STRAORDINARIA </t>
    </r>
    <r>
      <rPr>
        <b/>
        <u/>
        <sz val="11"/>
        <rFont val="Calibri"/>
        <family val="2"/>
        <scheme val="minor"/>
      </rPr>
      <t>ACQUEDOTTO E FOGNATURA</t>
    </r>
    <r>
      <rPr>
        <sz val="11"/>
        <rFont val="Calibri"/>
        <family val="2"/>
        <scheme val="minor"/>
      </rPr>
      <t xml:space="preserve"> 1° SEMESTRE 2022</t>
    </r>
  </si>
  <si>
    <t>Z6234B96F8</t>
  </si>
  <si>
    <t>ZBD34B96FC</t>
  </si>
  <si>
    <t>ZA934BA439</t>
  </si>
  <si>
    <t>MATERIALE EDILE ANNO 2022</t>
  </si>
  <si>
    <t>Z2034BA48E</t>
  </si>
  <si>
    <t>ATTIVITà NOLEGGIO CASSONI E SMALTIMENTO CER 17.09.04, 17.03.02 e CER 17.04.05 - triennio (2019/2020/2021/2022)</t>
  </si>
  <si>
    <t>MANUTENZIONE ASCENSORI ANNO 2020-2021-2022</t>
  </si>
  <si>
    <t>manutenzione ANNUALE 2022 per gruppi elettrogeni</t>
  </si>
  <si>
    <t>manutenzioni ordinarie e/o straordinarie dell’impiantistica idraulica sugli impianti gestiti da MONDO ACQUA S.P.A. - ANNO 2022</t>
  </si>
  <si>
    <t>ZAE34BA883</t>
  </si>
  <si>
    <t>REP 2022/01</t>
  </si>
  <si>
    <t>REP 2022/02</t>
  </si>
  <si>
    <t>REP 2022/03</t>
  </si>
  <si>
    <t>REP 2022/04</t>
  </si>
  <si>
    <t>REP 2022/05</t>
  </si>
  <si>
    <t>REP 2022/06</t>
  </si>
  <si>
    <t>REP 2022/07</t>
  </si>
  <si>
    <t>REP 2022/08</t>
  </si>
  <si>
    <t>REP 2022/09</t>
  </si>
  <si>
    <t>REP 2022/10</t>
  </si>
  <si>
    <t>REP 2022/11</t>
  </si>
  <si>
    <t>REP 2022/12</t>
  </si>
  <si>
    <t>REP 2022/13</t>
  </si>
  <si>
    <t>REP 2022/14</t>
  </si>
  <si>
    <t>REP 2022/15</t>
  </si>
  <si>
    <t>Fornitura cancelleria e materiale per ufficio ANNO 2022</t>
  </si>
  <si>
    <t>TELECONTROLLO ANNO 2022</t>
  </si>
  <si>
    <t>FORNITURA BUONI PASTO AZIENDALI anno 2022</t>
  </si>
  <si>
    <t>ZCA34BA932</t>
  </si>
  <si>
    <t>Z0D34BA93D</t>
  </si>
  <si>
    <t>Z7334BA947</t>
  </si>
  <si>
    <t>FERB / BASSO /ROVERE BECCARIA/COMOLI FERRARI/renaudo</t>
  </si>
  <si>
    <t>REP 2022/16</t>
  </si>
  <si>
    <t>PNEUMATCI E RIPARAZIONE AUTOMEZZI MONDO ACQUA ANNO 2022</t>
  </si>
  <si>
    <t>Z7134BA9B8</t>
  </si>
  <si>
    <t>REP 2022/17</t>
  </si>
  <si>
    <t>FORNITURA MATERIALE ELETTRICO – ANNO 2022</t>
  </si>
  <si>
    <t>EMPORIO ELETTRICO/COMOLI FERRARI/ IDG MONDOVì (EX ZEROUNO)</t>
  </si>
  <si>
    <t xml:space="preserve">	ATTIVITà DI MANUTENZIONE IMPIANTO DI ALLARME incluso il servizio di REPERIBILITÀ H24 e 7/7 PRESSO LA SEDE DELLA MONDO ACQUA DI VIA VENEZIA 6B MONDOVÌ </t>
  </si>
  <si>
    <t>GRISERI/TERMOSANITARIA</t>
  </si>
  <si>
    <t>C67H22000320003</t>
  </si>
  <si>
    <t>REP 2022/18</t>
  </si>
  <si>
    <t>REP 2022/19</t>
  </si>
  <si>
    <t>INCARICO DI Progettazione definitiva, esecutiva, direzione lavori, CSE e contabilità - LAVORI DI  "sistemazione della viabilità di accesso alle sorgenti e regimazione delle acque in località “Serra Pontetto” in comune di Roccaforte Mondovì (CN)  - COFINANZIAMENTO DI EURO 50000 UNIONE MONDOLè</t>
  </si>
  <si>
    <t>TRE I srls</t>
  </si>
  <si>
    <t>Z9F351566D</t>
  </si>
  <si>
    <t>EMPORIO ELETTRICO</t>
  </si>
  <si>
    <t>ZC835156B1</t>
  </si>
  <si>
    <t>ESECUZIONE LAVORI DI  "sistemazione della viabilità di accesso alle sorgenti e regimazione delle acque in località “Serra Pontetto” in comune di Roccaforte Mondovì (CN)  - COFINANZIAMENTO DI EURO 50000 UNIONE MONDOLè</t>
  </si>
  <si>
    <t>FLORAMO/ GEM CHIMICA</t>
  </si>
  <si>
    <t>REP 2022/20</t>
  </si>
  <si>
    <t>ANALISI GIARDIA E RADIOATTIVITà SU ACQUE POTABILI ANNO 2022-2023</t>
  </si>
  <si>
    <t>GEM CHIMICA/NEOGAMMA</t>
  </si>
  <si>
    <t>Z58352B7DE</t>
  </si>
  <si>
    <t>IMPORTO  IMPEGNATO 2022</t>
  </si>
  <si>
    <t>GARELLI ENZO &amp; C. SRL/CAR IMPEX 4X4/CARROZZERIA GHIGLIA</t>
  </si>
  <si>
    <t>AURELI/BORSARELLI/VERONESE</t>
  </si>
  <si>
    <t>REP 2022/21</t>
  </si>
  <si>
    <t>servizi di consulenza e supporto tecnico alle attività di depurazione e supporto nella organizzazione della manutenzione ordinaria e della manutenzione straordinaria degli impianti di depurazione gestiti da Mondo Acqua-ANNO 2022</t>
  </si>
  <si>
    <t>ZCE353D989</t>
  </si>
  <si>
    <t>PIERALISI/ROBUSCHI/VERRA OLEOPNEUMATICA/HUBER/HIDROMISURE/PROMINENT</t>
  </si>
  <si>
    <t>BIG/ECO</t>
  </si>
  <si>
    <t>REP 2022/22</t>
  </si>
  <si>
    <t>CONVENZIONE DI INCARICO PROFESSIONALE PER LA PROGETTAZIONE ESECUTIVA e C.S.P DELL'INTERVENTO 'REVISIONE RETE FOGNARIA AFFERENTE AL RIO BOZZOLO E AL RIO PESCE PESCE E RIMOZIONE AFFLUSSI ACQUE PARASSITE ALL'IMPIANTO DI DEPURAZIONE IN LOCALITA' LONGANA'</t>
  </si>
  <si>
    <t>FAZIO</t>
  </si>
  <si>
    <t>9115384CD4</t>
  </si>
  <si>
    <t>REP 2022/23</t>
  </si>
  <si>
    <t>INDAGINI GEOLOGICHE/ARCHEOLOGICHE PER SITI MONDO ACQUA ANNI 2022-2023</t>
  </si>
  <si>
    <t>Z0C355F187</t>
  </si>
  <si>
    <t>Z1B355F1A6</t>
  </si>
  <si>
    <t>Z35355F1CB</t>
  </si>
  <si>
    <t>ZD9355F1E0</t>
  </si>
  <si>
    <t>Incarico RSPP e Aggiornamento Documentazione Sicurezza-inclusi FORMAZIONE IN MATERIA DI SICUREZZA e verifiche siti ai sensi del Dlgs 81/08  - SINO 30.06.2023</t>
  </si>
  <si>
    <t>Z15355F1FE</t>
  </si>
  <si>
    <t>ZAB355F239</t>
  </si>
  <si>
    <t>ENI FATTURE ANNO 2022
GALLESIO SCHEDE CARBURANTI VARIE</t>
  </si>
  <si>
    <t>FATT. N. 201_VV2_42000054 DEL 31/01/2022 - PIERALISI
FATT. N. 201_VV2_42000055 DEL 31/01/2022 - PIERALISI</t>
  </si>
  <si>
    <t>FATT. N. 4 DEL 31/01/2022 - BEGLIATTI ING. MARTA</t>
  </si>
  <si>
    <t>FATT. N. 298 DEL 31/01/2022 - GEM CHIMICA</t>
  </si>
  <si>
    <t>FATT. N. 8 DEL 28/01/2022 - GRISERI CARLO</t>
  </si>
  <si>
    <t xml:space="preserve">
FATT. N.  37 DEL 31/01/2022 - G.S.
FATT. N. 18 DEL 31/01/2022 - GASCO
FATT. N. 17 DEL 31/01/2022 - GASCO</t>
  </si>
  <si>
    <t xml:space="preserve">8916421F5D </t>
  </si>
  <si>
    <t>REP 2022/24</t>
  </si>
  <si>
    <t>Adeguamento e potenziamento dell'impianto di depurazione acque reflue del Comune di Mondovì- località Longana- lotto 2</t>
  </si>
  <si>
    <t>C.S. Costruzioni S.r.l./  TECNOEDIL LAVORI Scarl / RUSCALLA RENATO SPA / UNYON CONSORZIO STABILE SCARL /    S.T.A. SOCIETA' TRATTAMENTO ACQUE S.R.L</t>
  </si>
  <si>
    <t>TECNOEDIL LAVORI Scarl</t>
  </si>
  <si>
    <t>SISEA S.R.L./ BRA SERVIZI S.R.L. / SACED</t>
  </si>
  <si>
    <t>EUROFINS</t>
  </si>
  <si>
    <t>REP 2022/25</t>
  </si>
  <si>
    <t>EUROFINS/INSPECTA</t>
  </si>
  <si>
    <t>Z24359CA81</t>
  </si>
  <si>
    <t>verifiche impianti di terra per gli imoianti elettrici di impianti acquedotto, fognatura e depurazione - ANNI 2022-2023</t>
  </si>
  <si>
    <t>AGSM ENERGIA SPA/GLOBALPOWER</t>
  </si>
  <si>
    <t>REP 2022/26</t>
  </si>
  <si>
    <t>Z6435C97CF</t>
  </si>
  <si>
    <t>FATT. N. 4 DEL 08/02/2022 - SAGLIETTO</t>
  </si>
  <si>
    <t>FATT. N. 440 DEL 22/02/2022 - UFFICIO MODERNO</t>
  </si>
  <si>
    <t>FATT. N. 1702203772 DEL 21/02/2022 - GRUNDFOS</t>
  </si>
  <si>
    <t>CARBURANTE ANNO 2021-2022</t>
  </si>
  <si>
    <t>FATT. N. 19 DEL 07/03/2022 - MARENCO</t>
  </si>
  <si>
    <t>FATT. N. 57 DEL 14/03/2022 - GHIGLIA PIERO</t>
  </si>
  <si>
    <t>FATT. N. 15 DEL 18/03/2022 - GRISERI</t>
  </si>
  <si>
    <t>REP 2022/27</t>
  </si>
  <si>
    <t>REP 2022/28</t>
  </si>
  <si>
    <t>PDL 80 - FORNITURE  e somme in economia LOTTI 1-2-3 - RIFACIMENTO CONDOTTA DI ADDUZIONE dalle sorgente ALTA VAL CORSAGLIA AL COMUNE DI FRABOSA SOPRANA</t>
  </si>
  <si>
    <t>ZCF35CA9DD</t>
  </si>
  <si>
    <t>REP 2022/29</t>
  </si>
  <si>
    <t>REP 2022/30</t>
  </si>
  <si>
    <t>REP 2022/31</t>
  </si>
  <si>
    <t>PDL 80 - DIREZIONE LAVORI per le attività in oggetto 'SOMMA URGENZA- RIPRISTINO CONDOTTA DI ADDUZIONE DALLE SORGENTI ALTA VAL CORSAGLIA AL COMUNE DI FRABOSA SOPRANA E RIFACIMENTO VASCHE DI CARICO E POTABILIZZAZIONE-COMUNE DI FRABOSA SOPRANA'</t>
  </si>
  <si>
    <t>PDL 80 - C.S.E. E CONSULENZE GEOLOGICHE - perI LAVORI DI 'SOMMA URGENZA- RIPRISTINO CONDOTTA DI ADDUZIONE DALLE SORGENTI ALTA VAL CORSAGLIA AL COMUNE DI FRABOSA SOPRANA E RIFACIMENTO VASCHE DI CARICO E POTABILIZZAZIONE-COMUNE DI FRABOSA SOPRANA'</t>
  </si>
  <si>
    <t>PDL 80 - LAVORI LOTTO3 -  'SOMMA URGENZA- RIPRISTINO CONDOTTA DI ADDUZIONE DALLE SORGENTI ALTA VAL CORSAGLIA AL COMUNE DI FRABOSA SOPRANA E RIFACIMENTO VASCHE DI CARICO E POTABILIZZAZIONE-COMUNE DI FRABOSA SOPRANA'</t>
  </si>
  <si>
    <t>9161862FAF</t>
  </si>
  <si>
    <t>Z6235CA7F0</t>
  </si>
  <si>
    <t>9162113ED1</t>
  </si>
  <si>
    <t>BOETTI ARCH. MARCELLO</t>
  </si>
  <si>
    <t>GIORDANO COSTRUZIONI</t>
  </si>
  <si>
    <t>REP 2022/32</t>
  </si>
  <si>
    <t>PDL 80 - LAVORI LOTTO 2 -  'SOMMA URGENZA- RIPRISTINO CONDOTTA DI ADDUZIONE DALLE SORGENTI ALTA VAL CORSAGLIA AL COMUNE DI FRABOSA SOPRANA E RIFACIMENTO VASCHE DI CARICO E POTABILIZZAZIONE-COMUNE DI FRABOSA SOPRANA'</t>
  </si>
  <si>
    <t>PDL 80 - LAVORI LOTTO 1 -  'SOMMA URGENZA- RIPRISTINO CONDOTTA DI ADDUZIONE DALLE SORGENTI ALTA VAL CORSAGLIA AL COMUNE DI FRABOSA SOPRANA E RIFACIMENTO VASCHE DI CARICO E POTABILIZZAZIONE-COMUNE DI FRABOSA SOPRANA'</t>
  </si>
  <si>
    <t>9167403C44</t>
  </si>
  <si>
    <t>EDILSERVICE S.R.L. (a seguito di gara deserta)</t>
  </si>
  <si>
    <t xml:space="preserve">CAMPERI LUIGI E FIGLI - CARPENTERIA  </t>
  </si>
  <si>
    <t>GRB / PEIRA IMPIANTI/MERLINO</t>
  </si>
  <si>
    <t>BERRETTA IMPIANTI (a seguito di gara desrta)</t>
  </si>
  <si>
    <t>ROBALDO GIAN MAURO/VINAI GIANPAOLO/IL GREDERISTA/COSTRUIRE/QMC/GRISERI/SILVER SERVICE</t>
  </si>
  <si>
    <t>FATT 721249 DEL 28/03/2022</t>
  </si>
  <si>
    <t>FATT. N. 1 DEL 31/03/2022 - PERUCCA</t>
  </si>
  <si>
    <t>IDROTERM/rizzo mauro/
Industrial Tecnica
Colorificio Voarino
Emme 2 / HACH / PROMINENT / TUTTO GIARDINO/GRUNDFOS/ENVIROGEN/RT ENVIROMENT/IDROCENTRO</t>
  </si>
  <si>
    <t>CTI / BARALE / SAMA / SAMAS / AC.MO / HIDROMISURE/BERRETTA/GRISERI CARLO VINCENZO/SAGLIETTO ENGINEERING/ELETTROEDIL/gs carpenterie/SINERGIE/SOFREL</t>
  </si>
  <si>
    <t>C58B22000050001</t>
  </si>
  <si>
    <t>REP 2022/33</t>
  </si>
  <si>
    <t>REP 2022/34</t>
  </si>
  <si>
    <t>LAVORI potenziamento condotte di distribuzione e realizzazione nuova tratta di adduzione VIA ZINDO VIGLIONI E S.P. 231 VIA ALLE TERME - LOTTO 1</t>
  </si>
  <si>
    <t>LAVORI RIFACIMENTO OPERE IDRAULICHE SAN BERNARDINO - COMUNE DI SAN MICHELE MONDOVì</t>
  </si>
  <si>
    <t>Z713644440</t>
  </si>
  <si>
    <t>FATT. N. 95 DEL 16/02/2022 - EDILSERVICE
FATT. N. 96 DEL 16/02/2022 - EDILSERVICE
FATT. N. 124 DEL 28/02/2022 - EDILSERVICE
FATT. N. 196 DEL 31/03/2022 - EDILSERVICE</t>
  </si>
  <si>
    <t>FATT. N. 2200011 DEL 31/01/2022 - BERRETTA IMPIANTI
FATT. N. 2200034 DEL 28/02/2022 - BERRETTTA
FATT. N. 2200061 DEL 31/03/2022 - BERRETTA</t>
  </si>
  <si>
    <t>FATT. N. 10 DEL 31/01/2022 - GASCO
FATT. N. 27 DEL 21/03/2022 - GASCO 
FATT 29 DEL 29/03/2022 - GASCO</t>
  </si>
  <si>
    <t>FATT 2211002134 DEL 31/03/2022 - SMEUP</t>
  </si>
  <si>
    <t>REP 2022/35</t>
  </si>
  <si>
    <t xml:space="preserve">LAVORI IN ECONOMIA  - ANNO 2022 - “REVISIONE RETE FOGNARIA AFFERENTE AL RIO BOZZOLO E AL RIO PESCE PESCE E RIMOZIONE AFFLUSSI ACQUE PARASSITE ALL'IMPIANTO DI DEPURAZIONE IN LOCALITA' LONGANA” </t>
  </si>
  <si>
    <t>STUDIO IGES</t>
  </si>
  <si>
    <t>ZB8365574A</t>
  </si>
  <si>
    <t>REP. 2021-28UM</t>
  </si>
  <si>
    <t>87523668E7</t>
  </si>
  <si>
    <t>FFIDAMENTO LAVORI DI DISMISSIONE DEPURATORE LOCALITÀ BRANZOLA E COLLETTAMENTO AL COLLETTORE FOGNARIO FRAZ. MERLO MONDOVÌ</t>
  </si>
  <si>
    <t>BERTOLOTTI GIOVANNI COSTRUZIONI</t>
  </si>
  <si>
    <t>•	GIORDANO COSTRUZIONI S.R.L.
•	EULA E BESSONE SRL 
•	IMPRESA MONDO S.R.L.
•	BERTOLOTTI GIOVANNI COSTRUZIONI S.R.L.
•	QMC SRL</t>
  </si>
  <si>
    <t>FATT 100 DEL 31/03/2022
FATT 134 DEL 30/04/2022</t>
  </si>
  <si>
    <t>FATT 223 DEL 29/04/2022 BUILDING</t>
  </si>
  <si>
    <t>FATT. N. 70 DEL 14/02/2022 - BUILDING
FATT. N. 233 DEL 30/04/2022 - BUILDING</t>
  </si>
  <si>
    <t xml:space="preserve">FATT. N. 22T1000127 DEL 31/01/2022 - SMEUP BSA
FATT. N. 22T1000063 DEL 31/01/2022 - SMEUP BSA
FATT. N. 22T1000512 DEL 28/02/2022 - SMEUP BSA
FATT. N. 22T1000737 DEL 31/03/2022 - SMEUP BSA
FATT. N. 22T1000699 DEL 31/03/2022 - SMEUP BSA
FATT. N. 22T1000776 DEL 30/04/2022 - SMEUP BSA
</t>
  </si>
  <si>
    <t xml:space="preserve">FATT. N. 22T1000128 DEL 31/01/2022 - SMEUP BSA
FATT. N. 22T1000513 DEL 28/02/2022 - SMEUP
FATT 22T1000700 DEL 31/03/2022 - SMEUP
FATT 22T1000777 DEL 30/04/2022 - SMEUP
</t>
  </si>
  <si>
    <t>FATT. N. 000063 DEL 14.01.22 - EDP PLASTUBI SRL
FATT. N. 56 DEL 31/01/2022 - FAGGIOLATI
FATT 295 DEL 30/03/2022
FATT 554 DEL 11/04/2022 - TERMOSANITARIA</t>
  </si>
  <si>
    <t>FATT. N. 210362 DEL 16/02/2022 - MADDALENA SPA
FATT. N. 211168 DEL 22/04/2022 - MADDALENA SPA</t>
  </si>
  <si>
    <t>FATT. N. 90 DEL 31/01/2022 - SILVER SERVICE
FATT. N. 87 DEL 31/01/2022 - SILVER SERVICE
FATT. N. 163 DEL 28/02/2022 - SILVER SERVICE
FATT. N. 270 DEL 31/03/2022 - SILVER SERVICE
FATT. N. 354 DEL 30/04/2022 - SILVER SERVICE</t>
  </si>
  <si>
    <t>FATT 2200076 DEL 30/04/2022 - BERRETTA</t>
  </si>
  <si>
    <t>FATT 1962 DEL 30/04/2022 - ALPICLIMA</t>
  </si>
  <si>
    <t>FATT 22FT006763/EO DL 20/04/2022 - LIFEANALYTICS S.R.L.
FATT 22FT006764/EO DL 20/04/2022 - LIFEANALYTICS S.R.L.</t>
  </si>
  <si>
    <t>FATT 35 DEL 30/04/2022 - TBA
FATT 29 DEL 30/04/2022 - TBA</t>
  </si>
  <si>
    <t>FATT 30 DEL 30/04/2022 - TBA</t>
  </si>
  <si>
    <t>FATT 341 DEL 29/04/2022 - SILVER SERVICE</t>
  </si>
  <si>
    <t>FATT. N. 3084 DEL 31/03/2022 - INFORMATICA SYSTEM
FATT 196 DEL 26/04/2022 - BUILDING</t>
  </si>
  <si>
    <t>FATT 2 DEL 12/04/2022 - AVAGNINA
FATT 3 DEL 12/04/2022 - AVAGNINA
FATT 1 DEL 12/04/2022 - AVAGNINA</t>
  </si>
  <si>
    <t>FATT 9 DEL 21/04/2022 - DARDANELLI
FATT 7 DEL 01/04/2022 - DARDANELLI</t>
  </si>
  <si>
    <t>FATT 6 DeL 04/04/2022 - PRINOTTI</t>
  </si>
  <si>
    <t>FATT 5 DEL 08/04/2022 - FAZIO</t>
  </si>
  <si>
    <t>FATT 183 DEL 15/04/2022 - BUILDING</t>
  </si>
  <si>
    <t>FATT 25 DEL 26/04/2022 - DEDOMENICIS</t>
  </si>
  <si>
    <t>FATT N. 2 DEL 30/04/2022 - PERUCCA</t>
  </si>
  <si>
    <t>FATT. N° 75 DEL  31/01/2022 - EDIL SERVICE
FATT. N. 123 DEL 28/02/2022 - EDILSERVICE
FATT. N. 197 DEL 31/03/2022 - EDILSERVICE
FATT 294 DEL 29/04/2022 - EDILSERVICE</t>
  </si>
  <si>
    <t>FATT 298 DEL 29/04/2022 - EDILSERVICE</t>
  </si>
  <si>
    <t>MATERIALE IDRAULICO PER MANUTENZIONI ORDINARIE E STRAORDINARIE  2° QUADRIMESTRE 2022</t>
  </si>
  <si>
    <t>REP 2022/36</t>
  </si>
  <si>
    <t>MATERIALE IDRAULICO PER MANUTENZIONI ORDINARIE E STRAORDINARIE  3° QUADRIMESTRE 2022</t>
  </si>
  <si>
    <r>
      <t xml:space="preserve">INTERVENTI DI MANUTENZIONE ORDINARIA E STRAORDINARIA su IMPIANTI DI </t>
    </r>
    <r>
      <rPr>
        <b/>
        <u/>
        <sz val="11"/>
        <rFont val="Calibri"/>
        <family val="2"/>
        <scheme val="minor"/>
      </rPr>
      <t>DEPURAZIONE</t>
    </r>
    <r>
      <rPr>
        <sz val="11"/>
        <rFont val="Calibri"/>
        <family val="2"/>
        <scheme val="minor"/>
      </rPr>
      <t xml:space="preserve"> 2° SEMESTRE 2022</t>
    </r>
  </si>
  <si>
    <r>
      <t xml:space="preserve">INTERVENTI DI MANUTENZIONE STRAORDINARIA </t>
    </r>
    <r>
      <rPr>
        <b/>
        <u/>
        <sz val="11"/>
        <rFont val="Calibri"/>
        <family val="2"/>
        <scheme val="minor"/>
      </rPr>
      <t>ACQUEDOTTO E FOGNATURA</t>
    </r>
    <r>
      <rPr>
        <sz val="11"/>
        <rFont val="Calibri"/>
        <family val="2"/>
        <scheme val="minor"/>
      </rPr>
      <t xml:space="preserve"> 2° SEMESTRE 2022</t>
    </r>
  </si>
  <si>
    <t>Z00369516D</t>
  </si>
  <si>
    <t>Z21369517F</t>
  </si>
  <si>
    <t>Z753695196</t>
  </si>
  <si>
    <t>ZA136951AE</t>
  </si>
  <si>
    <t>ZD234BA869</t>
  </si>
  <si>
    <t>NANOSOFT SRL
RICOH ITALIA S.R.L.
STAPROL S.P.A.
ONE TEAM SRL
INFORMATICA SYSTEM   SMEUP LOGOSOFT
PROGETTO 6 (smeup)</t>
  </si>
  <si>
    <t>HIDROMISURE/IDRIZ/</t>
  </si>
  <si>
    <t>REP 2022/37</t>
  </si>
  <si>
    <t>REP 2022/38</t>
  </si>
  <si>
    <t>REP 2022/39</t>
  </si>
  <si>
    <t>REP 2022/40</t>
  </si>
  <si>
    <t>PROGETTAZIONE PER LAVORI potenziamento condotte di distribuzione e realizzazione nuova tratta di adduzione VIA ZINDO VIGLIONI E S.P. 231 VIA ALLE TERME - LOTTO 1</t>
  </si>
  <si>
    <t>Z6F36B8E86</t>
  </si>
  <si>
    <t>Z7536BFDF4</t>
  </si>
  <si>
    <t>ANALISI DI LABORATORIO ACQUE REFLUE E FANGHI PER GESTIONE PROVVISORIA DEP. LOC. LONGANA</t>
  </si>
  <si>
    <t>REP 2022/41</t>
  </si>
  <si>
    <t xml:space="preserve">FLORAMO </t>
  </si>
  <si>
    <t>FATT. N. 22T1000064 DEL 31/01/2022 - SMEUP BSA
FATT. N. 2211001510 DEL 28/02/2022 - SMEUP SPA
FATT. N. 1357 DEL 11/03/2022 - ONE TEAM SRL
FATT. N. 1553 DEL 31/03/2022 - STAPROL
FATT 3085 DEL 31/03/2022 - INFORMATICA SYSTEM
FATT 2211002755 DEL 30/04/2022 - SMEUP
FATT 22T100820 DEL 30/04/2020 - SMEUP
FATT 2211002410 DEL 14/04/2020 - SMEUP ICS
FATT 2125 DEL 25/05/2022 - STAPROL SRL</t>
  </si>
  <si>
    <t>FATT. N. 816 DEL 21/02/2022 - SNF ITALIA
FATT. N. 1715 DEL 31/03/2022 - SNF ITALIA
FATT N. 2681 DEL 23/05/2022 - SNF ITALIA</t>
  </si>
  <si>
    <t>FATT. N. 117 DEL 28/01/2022 - SICHER ITALIA
FATT. N. 427 DEL 16/02/2022 - SAMES SAS
FATT. N. 382 DEL 30/03/2022 - SICHER ITALIA
FATT 296 DEL 20/05/2022 - GEA SOLUTION
FATT 343 DEL 31/05/2022 - COOP ARCOBALENO</t>
  </si>
  <si>
    <t xml:space="preserve">FATT 409 DEL 31/03/2022 - NUOVA ALPICA
FATT 749 DEL 30/04/2022 - NUOVA ALPICA
FATT 813 DEL 31/05/2022 - NUOVA ALPICA
</t>
  </si>
  <si>
    <t>FATT. 124 DEL 23/03/2022 - SINERGIE
FATT IMVF00196 DEL 31/05/2022 - LACROIX SRL
FATT 726 DEL 31/05/2022 - RV EMPORIO</t>
  </si>
  <si>
    <t>FATT. N. 3/A DEL 31/01/2022 - TERMOSANITARIA
FATT. N. 4A DEL 31/01/2022 - TERMOSANITARIA
FATT. N. 5/A DEL 31/01/2022 - TERMOSANITARIA
FATT. N. 6/A DEL 31/01/2022 - TERMOSANITARIA
FATT. N. 390/A DEL 28/02/2022 - TERMOSANITARIA
FATT. N. 389 DEL 28/02/2022 - TERMOSANITARIA
FATT 626 DEL 15/04/2022 - TERMOPLASTICA
FATT. N. 553 DEL 11/04/2022 - TERMOSANITARIA
FATT 42 DEL 24/05/2022 - GONELLA MARCO
FATT 744 DEL 11/05/2022 - TERMOSANITARIA</t>
  </si>
  <si>
    <t>FATT. N. 1702202185 DEL 04/02/2022 - GRUNDOFS
FATT. N. 393 DEL 28/02/2022 - TERMOSANITARIA
FATT. N. 4230 DEL 15/03/2022 - IDROTERM
FATT. N. 5192 DEL 31/03/2022 - IDROTERM
FATT. N. 555 DEL 11/04/2022 - TERMOSANITARIA BRA
FATT 205 DEL 30/05/2022 - TUTTOGIARDINO
FATT 747 DEL 11/05/2022 - TERMOSANITARIA
FATT 745 DEL 11/005/2022 - TERMOSANITARIA</t>
  </si>
  <si>
    <t>FATT. N. 50 DEL 31/01/2022 - ROVERE
FATT. N. 8 DEL 31/01/2022 - BASSO F.LLI
FATT. N. 121 DEL 28/02/2022 - BASSO F.LLI
FATT. N. 589 DEL 28/02/2022 - RENAUDO
FATT. N. 198 DEL 28/02/2022 - ROVERE E BECCARIA
FATT. N. 886 DEL 18/02/2022 - FERB
FATT. N. 248 DEL 31/03/2022 - BASSO F.LLI
FATT. N. 359 DEL 31/03/2022 - ROVERE E BECCARIA
FATT. N. 392 DEL 30/04/2022 - BASSO F.LLI
FATT 535 DEL 30/04/2022 - ROVERE E BECCARIA
FATT. 717 DEL 31/05/2022 - ROVERE
FATT 1792 DEL 31/05/2022 - RENAUDO
FATT 543 DEL 31/05/2022 - BASSO F.LLI</t>
  </si>
  <si>
    <t>FATT. N. 254 DEL 28/02/2022 - TERMOSANITARIA
FATT. N. 25 DEL 21/03/2022 - GASCO MAURO
FATT 42 DEL 12/05/2022 - GASCO</t>
  </si>
  <si>
    <t>FATT. N. 60 DEL 11/03/2022 - SAISEF
FATT. N. 83 DEL 12/04/2022 - SAISEF
FATT. N. 82 DEL 12/04/2022 - SAISEF
FATT 97 DEL  06/05/2022 - SAISEF</t>
  </si>
  <si>
    <t>fatt. n. 19 del 31/01/2022 - san carlo
FATT. N. 116 DEL 28/02/2022 - SAN CARLO
FATT. 152 DEL 31/03/2022 - SAN CARLO
FATT 299 DEL 31/05/2022 - SAN CARLO
FATT 301 DEL 31/05/2022 - SAN CARLO</t>
  </si>
  <si>
    <t>AVVISO PRACELLA 14 DEL 10/05/2022 - CUNIBERTI</t>
  </si>
  <si>
    <t>fatt. n. 22 del 10/03/2022 - gasco
FATT. N. 16 DEL 18/03/2022 - GRISERI
FATT 41 DEL 18/05/2022 - GONELLA MARCO
FATT 746 DEL 11/05/2022 - TERMOSANITARIA
FATT 23 DEL 06/06/2022 - GRISERI
FATT 23 DEL 11/05/2022 - DE TOFFOL</t>
  </si>
  <si>
    <t>FATTURE EUROFINS MESE DI MAGGIO 2022</t>
  </si>
  <si>
    <t>fatt. n. 42000219 del 04/03/2022 - pieralisi
FATT 0941062710 DEL 25/03/2022 - GARDNER
FATT F052207661 DEL 24/05/2022 - HACH LANGE
FATT 2261002103 DEL 27/05/2022 - PROMINENT</t>
  </si>
  <si>
    <t>FATT 412203225838 DEL 23/03/2022 - HERA
FATT 412205444607 DEL 23/05/2022 - HERA</t>
  </si>
  <si>
    <t>FATT. 1531E22 DEL 30/04/2022 BIOS
FATT 163 DEL 27/04/2022 - ROSSI DIEGO
FATT 1854E22 DEL 15/05/2022 - BIOS</t>
  </si>
  <si>
    <t>FATT 15 DEL 31/03/2022 - AURELI
FATT 20- DEL 12/05/2022  - BORSARELLI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</si>
</sst>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0\ _€"/>
  </numFmts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u/>
      <sz val="11"/>
      <name val="Calibri"/>
      <family val="2"/>
    </font>
    <font>
      <b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name val="Arial"/>
      <family val="2"/>
    </font>
    <font>
      <strike/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2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4" borderId="1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4" fontId="1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0" xfId="0" applyFont="1"/>
    <xf numFmtId="14" fontId="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14" fontId="1" fillId="0" borderId="1" xfId="0" applyNumberFormat="1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wrapText="1"/>
    </xf>
    <xf numFmtId="4" fontId="1" fillId="5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/>
    <xf numFmtId="14" fontId="1" fillId="0" borderId="1" xfId="0" applyNumberFormat="1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left" vertical="center"/>
    </xf>
    <xf numFmtId="0" fontId="9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 wrapText="1"/>
    </xf>
    <xf numFmtId="4" fontId="9" fillId="6" borderId="1" xfId="0" applyNumberFormat="1" applyFont="1" applyFill="1" applyBorder="1" applyAlignment="1">
      <alignment vertical="center"/>
    </xf>
    <xf numFmtId="14" fontId="9" fillId="6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left" vertical="center"/>
    </xf>
    <xf numFmtId="4" fontId="1" fillId="4" borderId="1" xfId="0" applyNumberFormat="1" applyFont="1" applyFill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/>
    </xf>
    <xf numFmtId="49" fontId="1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64" fontId="1" fillId="7" borderId="1" xfId="0" applyNumberFormat="1" applyFont="1" applyFill="1" applyBorder="1" applyAlignment="1">
      <alignment horizontal="center" vertical="center" wrapText="1"/>
    </xf>
    <xf numFmtId="14" fontId="4" fillId="7" borderId="1" xfId="0" applyNumberFormat="1" applyFont="1" applyFill="1" applyBorder="1" applyAlignment="1">
      <alignment horizontal="center" vertical="center" wrapText="1"/>
    </xf>
    <xf numFmtId="4" fontId="1" fillId="7" borderId="1" xfId="0" applyNumberFormat="1" applyFont="1" applyFill="1" applyBorder="1" applyAlignment="1">
      <alignment vertical="center"/>
    </xf>
    <xf numFmtId="4" fontId="0" fillId="7" borderId="1" xfId="0" applyNumberFormat="1" applyFill="1" applyBorder="1" applyAlignment="1">
      <alignment vertical="center"/>
    </xf>
    <xf numFmtId="14" fontId="11" fillId="7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 wrapText="1"/>
    </xf>
    <xf numFmtId="0" fontId="6" fillId="7" borderId="0" xfId="0" applyFont="1" applyFill="1"/>
    <xf numFmtId="14" fontId="1" fillId="7" borderId="1" xfId="0" applyNumberFormat="1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/>
    <xf numFmtId="4" fontId="0" fillId="0" borderId="4" xfId="0" applyNumberFormat="1" applyBorder="1"/>
    <xf numFmtId="14" fontId="0" fillId="0" borderId="4" xfId="0" applyNumberForma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/>
    <xf numFmtId="4" fontId="0" fillId="0" borderId="2" xfId="0" applyNumberFormat="1" applyBorder="1"/>
    <xf numFmtId="14" fontId="0" fillId="0" borderId="2" xfId="0" applyNumberFormat="1" applyBorder="1" applyAlignment="1">
      <alignment horizontal="center"/>
    </xf>
    <xf numFmtId="0" fontId="1" fillId="0" borderId="5" xfId="0" applyFont="1" applyBorder="1" applyAlignment="1">
      <alignment vertical="center"/>
    </xf>
    <xf numFmtId="49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4" fontId="1" fillId="0" borderId="5" xfId="0" applyNumberFormat="1" applyFont="1" applyBorder="1"/>
    <xf numFmtId="4" fontId="0" fillId="0" borderId="5" xfId="0" applyNumberFormat="1" applyBorder="1"/>
    <xf numFmtId="14" fontId="0" fillId="0" borderId="5" xfId="0" applyNumberFormat="1" applyBorder="1" applyAlignment="1">
      <alignment horizontal="center"/>
    </xf>
    <xf numFmtId="0" fontId="1" fillId="0" borderId="6" xfId="0" applyFont="1" applyBorder="1"/>
    <xf numFmtId="0" fontId="1" fillId="4" borderId="7" xfId="0" applyFont="1" applyFill="1" applyBorder="1" applyAlignment="1">
      <alignment vertical="center"/>
    </xf>
    <xf numFmtId="49" fontId="1" fillId="4" borderId="7" xfId="0" applyNumberFormat="1" applyFont="1" applyFill="1" applyBorder="1" applyAlignment="1">
      <alignment horizontal="center"/>
    </xf>
    <xf numFmtId="0" fontId="1" fillId="4" borderId="7" xfId="0" applyFont="1" applyFill="1" applyBorder="1"/>
    <xf numFmtId="0" fontId="1" fillId="4" borderId="7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wrapText="1"/>
    </xf>
    <xf numFmtId="0" fontId="1" fillId="4" borderId="7" xfId="0" applyFont="1" applyFill="1" applyBorder="1" applyAlignment="1">
      <alignment horizontal="center" vertical="center"/>
    </xf>
    <xf numFmtId="14" fontId="1" fillId="4" borderId="7" xfId="0" applyNumberFormat="1" applyFont="1" applyFill="1" applyBorder="1" applyAlignment="1">
      <alignment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/>
    </xf>
    <xf numFmtId="4" fontId="1" fillId="4" borderId="7" xfId="0" applyNumberFormat="1" applyFont="1" applyFill="1" applyBorder="1"/>
    <xf numFmtId="4" fontId="0" fillId="4" borderId="7" xfId="0" applyNumberFormat="1" applyFill="1" applyBorder="1"/>
    <xf numFmtId="14" fontId="0" fillId="4" borderId="7" xfId="0" applyNumberFormat="1" applyFill="1" applyBorder="1" applyAlignment="1">
      <alignment horizontal="center"/>
    </xf>
    <xf numFmtId="0" fontId="1" fillId="4" borderId="0" xfId="0" applyFont="1" applyFill="1" applyBorder="1"/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10" fontId="1" fillId="0" borderId="1" xfId="0" applyNumberFormat="1" applyFont="1" applyBorder="1" applyAlignment="1">
      <alignment vertical="center" wrapText="1"/>
    </xf>
    <xf numFmtId="165" fontId="4" fillId="3" borderId="1" xfId="0" applyNumberFormat="1" applyFont="1" applyFill="1" applyBorder="1" applyAlignment="1">
      <alignment horizontal="right" vertical="center" wrapText="1"/>
    </xf>
    <xf numFmtId="165" fontId="1" fillId="7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 wrapText="1"/>
    </xf>
    <xf numFmtId="165" fontId="1" fillId="0" borderId="1" xfId="0" applyNumberFormat="1" applyFont="1" applyFill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165" fontId="9" fillId="6" borderId="1" xfId="0" applyNumberFormat="1" applyFont="1" applyFill="1" applyBorder="1" applyAlignment="1">
      <alignment horizontal="right" vertical="center"/>
    </xf>
    <xf numFmtId="165" fontId="1" fillId="4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165" fontId="1" fillId="0" borderId="4" xfId="0" applyNumberFormat="1" applyFont="1" applyBorder="1" applyAlignment="1">
      <alignment horizontal="right"/>
    </xf>
    <xf numFmtId="165" fontId="1" fillId="0" borderId="5" xfId="0" applyNumberFormat="1" applyFont="1" applyBorder="1" applyAlignment="1">
      <alignment horizontal="right"/>
    </xf>
    <xf numFmtId="165" fontId="1" fillId="4" borderId="7" xfId="0" applyNumberFormat="1" applyFont="1" applyFill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14" fontId="1" fillId="0" borderId="1" xfId="0" applyNumberFormat="1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4" fontId="1" fillId="0" borderId="1" xfId="0" applyNumberFormat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8" borderId="1" xfId="0" applyFont="1" applyFill="1" applyBorder="1" applyAlignment="1">
      <alignment vertical="center"/>
    </xf>
    <xf numFmtId="0" fontId="1" fillId="8" borderId="0" xfId="0" applyFont="1" applyFill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 wrapText="1"/>
    </xf>
    <xf numFmtId="165" fontId="1" fillId="8" borderId="1" xfId="0" applyNumberFormat="1" applyFont="1" applyFill="1" applyBorder="1" applyAlignment="1">
      <alignment horizontal="right" vertical="center"/>
    </xf>
    <xf numFmtId="0" fontId="1" fillId="8" borderId="1" xfId="0" applyFont="1" applyFill="1" applyBorder="1" applyAlignment="1">
      <alignment horizontal="left" vertical="center"/>
    </xf>
    <xf numFmtId="14" fontId="1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1" fillId="8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/>
    <xf numFmtId="4" fontId="14" fillId="0" borderId="1" xfId="0" applyNumberFormat="1" applyFont="1" applyBorder="1"/>
    <xf numFmtId="14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9" fillId="0" borderId="0" xfId="0" applyFont="1"/>
    <xf numFmtId="11" fontId="1" fillId="0" borderId="1" xfId="0" quotePrefix="1" applyNumberFormat="1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165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/>
    <xf numFmtId="4" fontId="0" fillId="0" borderId="1" xfId="0" applyNumberFormat="1" applyFill="1" applyBorder="1"/>
    <xf numFmtId="4" fontId="1" fillId="0" borderId="0" xfId="0" applyNumberFormat="1" applyFont="1"/>
    <xf numFmtId="4" fontId="17" fillId="0" borderId="1" xfId="0" applyNumberFormat="1" applyFont="1" applyBorder="1" applyAlignment="1">
      <alignment vertic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 vertical="center"/>
    </xf>
  </cellXfs>
  <cellStyles count="2">
    <cellStyle name="Normale" xfId="0" builtinId="0"/>
    <cellStyle name="Normale 3" xfId="1" xr:uid="{752D3DB8-F863-41C6-8096-7DBEB2C31F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martcig.anticorruzione.it/AVCP-SmartCig/preparaDettaglioComunicazioneOS.action?codDettaglioCarnet=574023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580FD-1AE0-4597-95CB-F7D5E65B1C54}">
  <sheetPr codeName="Foglio1"/>
  <dimension ref="A1:U286"/>
  <sheetViews>
    <sheetView tabSelected="1" view="pageBreakPreview" topLeftCell="H1" zoomScale="80" zoomScaleNormal="100" zoomScaleSheetLayoutView="80" workbookViewId="0">
      <pane ySplit="1" topLeftCell="A198" activePane="bottomLeft" state="frozen"/>
      <selection pane="bottomLeft" activeCell="Q204" sqref="Q204"/>
    </sheetView>
  </sheetViews>
  <sheetFormatPr defaultRowHeight="15" x14ac:dyDescent="0.25"/>
  <cols>
    <col min="1" max="1" width="16.28515625" style="21" customWidth="1"/>
    <col min="2" max="2" width="16.42578125" style="20" customWidth="1"/>
    <col min="3" max="3" width="18" style="15" customWidth="1"/>
    <col min="4" max="4" width="21.42578125" style="15" customWidth="1"/>
    <col min="5" max="5" width="81.85546875" style="22" customWidth="1"/>
    <col min="6" max="6" width="14.28515625" style="20" customWidth="1"/>
    <col min="7" max="7" width="22.5703125" style="22" customWidth="1"/>
    <col min="8" max="8" width="28.42578125" style="22" customWidth="1"/>
    <col min="9" max="9" width="32.85546875" style="22" bestFit="1" customWidth="1"/>
    <col min="10" max="10" width="14.140625" style="191" bestFit="1" customWidth="1"/>
    <col min="11" max="11" width="14.5703125" style="20" customWidth="1"/>
    <col min="12" max="12" width="16.28515625" style="20" customWidth="1"/>
    <col min="13" max="14" width="11" style="19" bestFit="1" customWidth="1"/>
    <col min="15" max="17" width="11.7109375" style="19" customWidth="1"/>
    <col min="18" max="18" width="12.42578125" style="109" customWidth="1"/>
    <col min="19" max="19" width="14.28515625" style="20" bestFit="1" customWidth="1"/>
    <col min="20" max="20" width="60.28515625" style="21" customWidth="1"/>
    <col min="21" max="21" width="10.85546875" style="15" bestFit="1" customWidth="1"/>
    <col min="22" max="16384" width="9.140625" style="15"/>
  </cols>
  <sheetData>
    <row r="1" spans="1:20" s="14" customFormat="1" ht="63.75" x14ac:dyDescent="0.25">
      <c r="A1" s="12" t="s">
        <v>3</v>
      </c>
      <c r="B1" s="12" t="s">
        <v>0</v>
      </c>
      <c r="C1" s="12" t="s">
        <v>16</v>
      </c>
      <c r="D1" s="13" t="s">
        <v>10</v>
      </c>
      <c r="E1" s="26" t="s">
        <v>1</v>
      </c>
      <c r="F1" s="12" t="s">
        <v>15</v>
      </c>
      <c r="G1" s="26" t="s">
        <v>11</v>
      </c>
      <c r="H1" s="27" t="s">
        <v>12</v>
      </c>
      <c r="I1" s="26" t="s">
        <v>7</v>
      </c>
      <c r="J1" s="176" t="s">
        <v>158</v>
      </c>
      <c r="K1" s="13" t="s">
        <v>13</v>
      </c>
      <c r="L1" s="13" t="s">
        <v>8</v>
      </c>
      <c r="M1" s="27" t="s">
        <v>95</v>
      </c>
      <c r="N1" s="27" t="s">
        <v>94</v>
      </c>
      <c r="O1" s="27" t="s">
        <v>545</v>
      </c>
      <c r="P1" s="27" t="s">
        <v>795</v>
      </c>
      <c r="Q1" s="27" t="s">
        <v>1010</v>
      </c>
      <c r="R1" s="27" t="s">
        <v>9</v>
      </c>
      <c r="S1" s="12" t="s">
        <v>14</v>
      </c>
      <c r="T1" s="13"/>
    </row>
    <row r="2" spans="1:20" s="122" customFormat="1" ht="30" x14ac:dyDescent="0.2">
      <c r="A2" s="113"/>
      <c r="B2" s="112">
        <v>6871550671</v>
      </c>
      <c r="C2" s="113"/>
      <c r="D2" s="114" t="s">
        <v>123</v>
      </c>
      <c r="E2" s="123" t="s">
        <v>145</v>
      </c>
      <c r="F2" s="115"/>
      <c r="G2" s="115" t="s">
        <v>141</v>
      </c>
      <c r="H2" s="124" t="s">
        <v>146</v>
      </c>
      <c r="I2" s="124" t="s">
        <v>146</v>
      </c>
      <c r="J2" s="177">
        <v>472811</v>
      </c>
      <c r="K2" s="116"/>
      <c r="L2" s="117"/>
      <c r="M2" s="118" t="s">
        <v>798</v>
      </c>
      <c r="N2" s="119">
        <f>27386.87+27386.87</f>
        <v>54773.74</v>
      </c>
      <c r="O2" s="119"/>
      <c r="P2" s="119"/>
      <c r="Q2" s="119"/>
      <c r="R2" s="119" t="e">
        <f>J2-(M2+N2+O2)</f>
        <v>#VALUE!</v>
      </c>
      <c r="S2" s="120">
        <v>42690</v>
      </c>
      <c r="T2" s="121"/>
    </row>
    <row r="3" spans="1:20" s="122" customFormat="1" ht="30" x14ac:dyDescent="0.2">
      <c r="A3" s="113"/>
      <c r="B3" s="112" t="s">
        <v>148</v>
      </c>
      <c r="C3" s="113"/>
      <c r="D3" s="114" t="s">
        <v>123</v>
      </c>
      <c r="E3" s="123" t="s">
        <v>147</v>
      </c>
      <c r="F3" s="115"/>
      <c r="G3" s="115" t="s">
        <v>141</v>
      </c>
      <c r="H3" s="124" t="s">
        <v>146</v>
      </c>
      <c r="I3" s="124" t="s">
        <v>146</v>
      </c>
      <c r="J3" s="177">
        <v>200000</v>
      </c>
      <c r="K3" s="116">
        <v>152456</v>
      </c>
      <c r="L3" s="117"/>
      <c r="M3" s="118">
        <f>12704.68+12704.68</f>
        <v>25409.360000000001</v>
      </c>
      <c r="N3" s="119">
        <f>12704.68+12704.68</f>
        <v>25409.360000000001</v>
      </c>
      <c r="O3" s="119">
        <f>11116.6</f>
        <v>11116.6</v>
      </c>
      <c r="P3" s="119"/>
      <c r="Q3" s="119"/>
      <c r="R3" s="119">
        <f>J3-(M3+N3+O3)</f>
        <v>138064.68</v>
      </c>
      <c r="S3" s="120">
        <v>43025</v>
      </c>
      <c r="T3" s="121"/>
    </row>
    <row r="4" spans="1:20" s="33" customFormat="1" ht="75" x14ac:dyDescent="0.2">
      <c r="A4" s="9"/>
      <c r="B4" s="28" t="s">
        <v>139</v>
      </c>
      <c r="C4" s="9"/>
      <c r="D4" s="10" t="s">
        <v>123</v>
      </c>
      <c r="E4" s="34" t="s">
        <v>140</v>
      </c>
      <c r="F4" s="1" t="s">
        <v>6</v>
      </c>
      <c r="G4" s="1" t="s">
        <v>141</v>
      </c>
      <c r="H4" s="35" t="s">
        <v>142</v>
      </c>
      <c r="I4" s="30" t="s">
        <v>143</v>
      </c>
      <c r="J4" s="178">
        <v>302500</v>
      </c>
      <c r="K4" s="105"/>
      <c r="L4" s="31">
        <v>44561</v>
      </c>
      <c r="M4" s="7">
        <f>36666.66+18333.33+18333.33+18333.33</f>
        <v>91666.650000000009</v>
      </c>
      <c r="N4" s="55">
        <f>18333.33+4468.75+18333.33+18333.33</f>
        <v>59468.740000000005</v>
      </c>
      <c r="O4" s="55">
        <f>18333.33+18333.33+18333.33</f>
        <v>54999.990000000005</v>
      </c>
      <c r="P4" s="55">
        <f>18333.33 + 3000+18333.33</f>
        <v>39666.660000000003</v>
      </c>
      <c r="Q4" s="55"/>
      <c r="R4" s="55">
        <f>J4-(M4+N4+O4+P4+Q4)</f>
        <v>56697.959999999992</v>
      </c>
      <c r="S4" s="63"/>
      <c r="T4" s="59"/>
    </row>
    <row r="5" spans="1:20" s="33" customFormat="1" ht="75" x14ac:dyDescent="0.2">
      <c r="A5" s="9"/>
      <c r="B5" s="28" t="s">
        <v>124</v>
      </c>
      <c r="C5" s="9"/>
      <c r="D5" s="10" t="s">
        <v>123</v>
      </c>
      <c r="E5" s="34" t="s">
        <v>125</v>
      </c>
      <c r="F5" s="1" t="s">
        <v>4</v>
      </c>
      <c r="G5" s="1" t="s">
        <v>48</v>
      </c>
      <c r="H5" s="35" t="s">
        <v>126</v>
      </c>
      <c r="I5" s="30" t="s">
        <v>127</v>
      </c>
      <c r="J5" s="178">
        <v>400400</v>
      </c>
      <c r="K5" s="105"/>
      <c r="L5" s="9"/>
      <c r="M5" s="7">
        <f>7200+240+6960+1355+3500+15800+9600</f>
        <v>44655</v>
      </c>
      <c r="N5" s="55">
        <f>1445+11679+11378+10320+2450+9360+1260+10620</f>
        <v>58512</v>
      </c>
      <c r="O5" s="55">
        <f>10625+8300+1570+2100+12000+7864</f>
        <v>42459</v>
      </c>
      <c r="P5" s="55">
        <f>7200+145+1050</f>
        <v>8395</v>
      </c>
      <c r="Q5" s="55">
        <f>840+2520</f>
        <v>3360</v>
      </c>
      <c r="R5" s="55">
        <f t="shared" ref="R5:R68" si="0">J5-(M5+N5+O5+P5+Q5)</f>
        <v>243019</v>
      </c>
      <c r="S5" s="63"/>
      <c r="T5" s="59" t="s">
        <v>1111</v>
      </c>
    </row>
    <row r="6" spans="1:20" s="33" customFormat="1" ht="51" customHeight="1" x14ac:dyDescent="0.2">
      <c r="A6" s="81" t="s">
        <v>629</v>
      </c>
      <c r="B6" s="82" t="s">
        <v>628</v>
      </c>
      <c r="C6" s="83" t="s">
        <v>633</v>
      </c>
      <c r="D6" s="84" t="s">
        <v>2</v>
      </c>
      <c r="E6" s="81" t="s">
        <v>630</v>
      </c>
      <c r="F6" s="85" t="s">
        <v>6</v>
      </c>
      <c r="G6" s="85" t="s">
        <v>631</v>
      </c>
      <c r="H6" s="86" t="s">
        <v>45</v>
      </c>
      <c r="I6" s="86" t="s">
        <v>45</v>
      </c>
      <c r="J6" s="179">
        <v>39999</v>
      </c>
      <c r="K6" s="106"/>
      <c r="L6" s="87"/>
      <c r="M6" s="88"/>
      <c r="N6" s="89"/>
      <c r="O6" s="89">
        <v>4120.2299999999996</v>
      </c>
      <c r="P6" s="89"/>
      <c r="Q6" s="89"/>
      <c r="R6" s="55">
        <f t="shared" si="0"/>
        <v>35878.770000000004</v>
      </c>
      <c r="S6" s="90"/>
      <c r="T6" s="91"/>
    </row>
    <row r="7" spans="1:20" s="194" customFormat="1" ht="30" x14ac:dyDescent="0.2">
      <c r="A7" s="81" t="s">
        <v>539</v>
      </c>
      <c r="B7" s="82" t="s">
        <v>540</v>
      </c>
      <c r="C7" s="83"/>
      <c r="D7" s="84" t="s">
        <v>123</v>
      </c>
      <c r="E7" s="195" t="s">
        <v>541</v>
      </c>
      <c r="F7" s="85" t="s">
        <v>6</v>
      </c>
      <c r="G7" s="85" t="s">
        <v>48</v>
      </c>
      <c r="H7" s="86" t="s">
        <v>542</v>
      </c>
      <c r="I7" s="86" t="s">
        <v>543</v>
      </c>
      <c r="J7" s="179">
        <v>39900</v>
      </c>
      <c r="K7" s="106"/>
      <c r="L7" s="83"/>
      <c r="M7" s="88"/>
      <c r="N7" s="88"/>
      <c r="O7" s="88">
        <f>397+397+397</f>
        <v>1191</v>
      </c>
      <c r="P7" s="88"/>
      <c r="Q7" s="88"/>
      <c r="R7" s="55">
        <f t="shared" si="0"/>
        <v>38709</v>
      </c>
      <c r="S7" s="193">
        <v>42951</v>
      </c>
      <c r="T7" s="110"/>
    </row>
    <row r="8" spans="1:20" s="33" customFormat="1" ht="45" x14ac:dyDescent="0.2">
      <c r="A8" s="81" t="s">
        <v>128</v>
      </c>
      <c r="B8" s="82" t="s">
        <v>129</v>
      </c>
      <c r="C8" s="83"/>
      <c r="D8" s="84" t="s">
        <v>123</v>
      </c>
      <c r="E8" s="81" t="s">
        <v>130</v>
      </c>
      <c r="F8" s="85" t="s">
        <v>6</v>
      </c>
      <c r="G8" s="85" t="s">
        <v>132</v>
      </c>
      <c r="H8" s="86" t="s">
        <v>131</v>
      </c>
      <c r="I8" s="86" t="s">
        <v>131</v>
      </c>
      <c r="J8" s="179">
        <v>39900</v>
      </c>
      <c r="K8" s="106"/>
      <c r="L8" s="87">
        <v>43830</v>
      </c>
      <c r="M8" s="88">
        <f>4273.8+300</f>
        <v>4573.8</v>
      </c>
      <c r="N8" s="89">
        <f>4000+4000+4000+3500</f>
        <v>15500</v>
      </c>
      <c r="O8" s="89"/>
      <c r="P8" s="89"/>
      <c r="Q8" s="89"/>
      <c r="R8" s="55">
        <f t="shared" si="0"/>
        <v>19826.2</v>
      </c>
      <c r="S8" s="90">
        <v>42927</v>
      </c>
      <c r="T8" s="91"/>
    </row>
    <row r="9" spans="1:20" s="33" customFormat="1" ht="25.5" x14ac:dyDescent="0.2">
      <c r="A9" s="2"/>
      <c r="B9" s="28" t="s">
        <v>334</v>
      </c>
      <c r="C9" s="9"/>
      <c r="D9" s="10" t="s">
        <v>123</v>
      </c>
      <c r="E9" s="2" t="s">
        <v>335</v>
      </c>
      <c r="F9" s="1" t="s">
        <v>6</v>
      </c>
      <c r="G9" s="1"/>
      <c r="H9" s="1" t="s">
        <v>133</v>
      </c>
      <c r="I9" s="5" t="s">
        <v>133</v>
      </c>
      <c r="J9" s="178">
        <v>30000</v>
      </c>
      <c r="K9" s="105"/>
      <c r="L9" s="31">
        <v>43806</v>
      </c>
      <c r="M9" s="7">
        <f>952</f>
        <v>952</v>
      </c>
      <c r="N9" s="55">
        <f>610</f>
        <v>610</v>
      </c>
      <c r="O9" s="55"/>
      <c r="P9" s="55"/>
      <c r="Q9" s="55"/>
      <c r="R9" s="55">
        <f t="shared" si="0"/>
        <v>28438</v>
      </c>
      <c r="S9" s="62"/>
      <c r="T9" s="59"/>
    </row>
    <row r="10" spans="1:20" s="33" customFormat="1" ht="25.5" x14ac:dyDescent="0.2">
      <c r="A10" s="2"/>
      <c r="B10" s="28" t="s">
        <v>134</v>
      </c>
      <c r="C10" s="9"/>
      <c r="D10" s="10" t="s">
        <v>123</v>
      </c>
      <c r="E10" s="2" t="s">
        <v>135</v>
      </c>
      <c r="F10" s="1" t="s">
        <v>6</v>
      </c>
      <c r="G10" s="1" t="s">
        <v>44</v>
      </c>
      <c r="H10" s="1" t="s">
        <v>136</v>
      </c>
      <c r="I10" s="5" t="s">
        <v>136</v>
      </c>
      <c r="J10" s="178">
        <v>10000</v>
      </c>
      <c r="K10" s="105"/>
      <c r="L10" s="31">
        <v>44196</v>
      </c>
      <c r="M10" s="7">
        <f>1899+933.08+1170</f>
        <v>4002.08</v>
      </c>
      <c r="N10" s="55">
        <v>0</v>
      </c>
      <c r="O10" s="55">
        <f>1302</f>
        <v>1302</v>
      </c>
      <c r="P10" s="55"/>
      <c r="Q10" s="55"/>
      <c r="R10" s="55">
        <f t="shared" si="0"/>
        <v>4695.92</v>
      </c>
      <c r="S10" s="62"/>
      <c r="T10" s="59"/>
    </row>
    <row r="11" spans="1:20" s="122" customFormat="1" ht="45" x14ac:dyDescent="0.2">
      <c r="A11" s="111"/>
      <c r="B11" s="112" t="s">
        <v>137</v>
      </c>
      <c r="C11" s="113"/>
      <c r="D11" s="114" t="s">
        <v>123</v>
      </c>
      <c r="E11" s="111" t="s">
        <v>138</v>
      </c>
      <c r="F11" s="115" t="s">
        <v>6</v>
      </c>
      <c r="G11" s="115" t="s">
        <v>48</v>
      </c>
      <c r="H11" s="115" t="s">
        <v>557</v>
      </c>
      <c r="I11" s="115" t="s">
        <v>557</v>
      </c>
      <c r="J11" s="177">
        <v>39900</v>
      </c>
      <c r="K11" s="116"/>
      <c r="L11" s="117">
        <v>44561</v>
      </c>
      <c r="M11" s="118">
        <v>7537.89</v>
      </c>
      <c r="N11" s="119">
        <f>558.25+558.25+558.25+558.25+558.25+558.25+558.25+558.25+558.25+558.25+558.25+558.25</f>
        <v>6699</v>
      </c>
      <c r="O11" s="119">
        <f>558.25+558.25+2000+558.25+558.25+400+558.25+558.25+558.25+558.25+558.25+558.25+558.25+558.25</f>
        <v>9099</v>
      </c>
      <c r="P11" s="119">
        <f>558.25+558.25+558.25+558.25+558.25+558.25+558.25+558.25+558.25+558.25</f>
        <v>5582.5</v>
      </c>
      <c r="Q11" s="119"/>
      <c r="R11" s="55">
        <f t="shared" si="0"/>
        <v>10981.61</v>
      </c>
      <c r="S11" s="120"/>
      <c r="T11" s="121"/>
    </row>
    <row r="12" spans="1:20" s="33" customFormat="1" ht="45" x14ac:dyDescent="0.2">
      <c r="A12" s="9"/>
      <c r="B12" s="28" t="s">
        <v>336</v>
      </c>
      <c r="C12" s="9"/>
      <c r="D12" s="10" t="s">
        <v>123</v>
      </c>
      <c r="E12" s="3" t="s">
        <v>337</v>
      </c>
      <c r="F12" s="1" t="s">
        <v>6</v>
      </c>
      <c r="G12" s="1" t="s">
        <v>44</v>
      </c>
      <c r="H12" s="36" t="s">
        <v>45</v>
      </c>
      <c r="I12" s="36" t="s">
        <v>45</v>
      </c>
      <c r="J12" s="178">
        <v>39900</v>
      </c>
      <c r="K12" s="105"/>
      <c r="L12" s="31">
        <v>43657</v>
      </c>
      <c r="M12" s="7">
        <f>3905.37+3572.94+8550.44+1385.28+3294+1996.8+1922</f>
        <v>24626.829999999998</v>
      </c>
      <c r="N12" s="55">
        <f>2922.4</f>
        <v>2922.4</v>
      </c>
      <c r="O12" s="55"/>
      <c r="P12" s="55"/>
      <c r="Q12" s="55"/>
      <c r="R12" s="55">
        <f t="shared" si="0"/>
        <v>12350.77</v>
      </c>
      <c r="S12" s="63"/>
      <c r="T12" s="64"/>
    </row>
    <row r="13" spans="1:20" s="33" customFormat="1" ht="25.5" x14ac:dyDescent="0.2">
      <c r="A13" s="9"/>
      <c r="B13" s="28" t="s">
        <v>338</v>
      </c>
      <c r="C13" s="9"/>
      <c r="D13" s="10" t="s">
        <v>123</v>
      </c>
      <c r="E13" s="3" t="s">
        <v>339</v>
      </c>
      <c r="F13" s="1" t="s">
        <v>5</v>
      </c>
      <c r="G13" s="1" t="s">
        <v>44</v>
      </c>
      <c r="H13" s="1" t="s">
        <v>340</v>
      </c>
      <c r="I13" s="5" t="s">
        <v>340</v>
      </c>
      <c r="J13" s="178">
        <v>39900</v>
      </c>
      <c r="K13" s="105"/>
      <c r="L13" s="31">
        <v>43715</v>
      </c>
      <c r="M13" s="7">
        <v>1760</v>
      </c>
      <c r="N13" s="55">
        <f>1225+7100</f>
        <v>8325</v>
      </c>
      <c r="O13" s="55"/>
      <c r="P13" s="55"/>
      <c r="Q13" s="55"/>
      <c r="R13" s="55">
        <f t="shared" si="0"/>
        <v>29815</v>
      </c>
      <c r="S13" s="63"/>
      <c r="T13" s="64"/>
    </row>
    <row r="14" spans="1:20" s="33" customFormat="1" ht="25.5" x14ac:dyDescent="0.2">
      <c r="A14" s="9"/>
      <c r="B14" s="28" t="s">
        <v>341</v>
      </c>
      <c r="C14" s="9"/>
      <c r="D14" s="10" t="s">
        <v>123</v>
      </c>
      <c r="E14" s="3" t="s">
        <v>342</v>
      </c>
      <c r="F14" s="1" t="s">
        <v>6</v>
      </c>
      <c r="G14" s="1" t="s">
        <v>44</v>
      </c>
      <c r="H14" s="1" t="s">
        <v>144</v>
      </c>
      <c r="I14" s="5" t="s">
        <v>144</v>
      </c>
      <c r="J14" s="178">
        <v>39900</v>
      </c>
      <c r="K14" s="105"/>
      <c r="L14" s="31">
        <v>43830</v>
      </c>
      <c r="M14" s="7">
        <f>1149.48+285</f>
        <v>1434.48</v>
      </c>
      <c r="N14" s="55">
        <f>1194.84</f>
        <v>1194.8399999999999</v>
      </c>
      <c r="O14" s="55">
        <f>1236.6+109</f>
        <v>1345.6</v>
      </c>
      <c r="P14" s="55">
        <f>1272.48+139+180+160</f>
        <v>1751.48</v>
      </c>
      <c r="Q14" s="55"/>
      <c r="R14" s="55">
        <f t="shared" si="0"/>
        <v>34173.599999999999</v>
      </c>
      <c r="S14" s="62">
        <v>43139</v>
      </c>
      <c r="T14" s="59"/>
    </row>
    <row r="15" spans="1:20" s="33" customFormat="1" ht="30" x14ac:dyDescent="0.2">
      <c r="A15" s="2" t="s">
        <v>343</v>
      </c>
      <c r="B15" s="28" t="s">
        <v>344</v>
      </c>
      <c r="C15" s="9"/>
      <c r="D15" s="10" t="s">
        <v>123</v>
      </c>
      <c r="E15" s="3" t="s">
        <v>345</v>
      </c>
      <c r="F15" s="1" t="s">
        <v>4</v>
      </c>
      <c r="G15" s="1" t="s">
        <v>44</v>
      </c>
      <c r="H15" s="1" t="s">
        <v>346</v>
      </c>
      <c r="I15" s="1" t="s">
        <v>346</v>
      </c>
      <c r="J15" s="178">
        <v>39900</v>
      </c>
      <c r="K15" s="105"/>
      <c r="L15" s="31"/>
      <c r="M15" s="7">
        <f>198+427+1052.89+812.57+663+460.99+968.11+198+850.85+220+748.58+1131.6+830.93+256+950.15+847.12+245+757.2+16+617.57</f>
        <v>12251.560000000001</v>
      </c>
      <c r="N15" s="55">
        <f>888.75+910.69+150+674.88+539.83+734.2+1026.17+168.03+647.21+867.81+391.48+645.02+1023.12+1030.31+898.16+933.73+792.31+235.25+762.41+838.64+285.25+756.01+726.05+58.2+1084.39+763.78+1142.62+713.39+326.23+778.2</f>
        <v>20792.119999999995</v>
      </c>
      <c r="O15" s="55">
        <f>593.39+(513.43+35)+483.09+616.7+140.16+527.57+217.21+15+567.44+783.57+839.31+35+710.7+13.11</f>
        <v>6090.6799999999985</v>
      </c>
      <c r="P15" s="55">
        <f>599.36+811.04</f>
        <v>1410.4</v>
      </c>
      <c r="Q15" s="55"/>
      <c r="R15" s="55">
        <f t="shared" si="0"/>
        <v>-644.75999999999476</v>
      </c>
      <c r="S15" s="63"/>
      <c r="T15" s="59"/>
    </row>
    <row r="16" spans="1:20" s="194" customFormat="1" ht="60" x14ac:dyDescent="0.2">
      <c r="A16" s="81" t="s">
        <v>347</v>
      </c>
      <c r="B16" s="82" t="s">
        <v>348</v>
      </c>
      <c r="C16" s="83" t="s">
        <v>222</v>
      </c>
      <c r="D16" s="84" t="s">
        <v>123</v>
      </c>
      <c r="E16" s="110" t="s">
        <v>349</v>
      </c>
      <c r="F16" s="85" t="s">
        <v>6</v>
      </c>
      <c r="G16" s="85" t="s">
        <v>44</v>
      </c>
      <c r="H16" s="85" t="s">
        <v>350</v>
      </c>
      <c r="I16" s="85" t="s">
        <v>350</v>
      </c>
      <c r="J16" s="179">
        <v>39000</v>
      </c>
      <c r="K16" s="106"/>
      <c r="L16" s="87"/>
      <c r="M16" s="88">
        <v>12036</v>
      </c>
      <c r="N16" s="88">
        <v>0</v>
      </c>
      <c r="O16" s="88">
        <f>988+2574.04+1417.5+400+1875</f>
        <v>7254.54</v>
      </c>
      <c r="P16" s="88">
        <f>2074.76+157.5</f>
        <v>2232.2600000000002</v>
      </c>
      <c r="Q16" s="88"/>
      <c r="R16" s="55">
        <f t="shared" si="0"/>
        <v>17477.199999999997</v>
      </c>
      <c r="S16" s="193">
        <v>43105</v>
      </c>
      <c r="T16" s="110"/>
    </row>
    <row r="17" spans="1:20" ht="120" x14ac:dyDescent="0.25">
      <c r="A17" s="1" t="s">
        <v>98</v>
      </c>
      <c r="B17" s="28" t="s">
        <v>46</v>
      </c>
      <c r="C17" s="2"/>
      <c r="D17" s="10" t="s">
        <v>123</v>
      </c>
      <c r="E17" s="3" t="s">
        <v>47</v>
      </c>
      <c r="F17" s="37" t="s">
        <v>5</v>
      </c>
      <c r="G17" s="29" t="s">
        <v>48</v>
      </c>
      <c r="H17" s="4" t="s">
        <v>49</v>
      </c>
      <c r="I17" s="4" t="s">
        <v>49</v>
      </c>
      <c r="J17" s="180">
        <v>148000</v>
      </c>
      <c r="K17" s="5"/>
      <c r="L17" s="5"/>
      <c r="M17" s="7">
        <f>11140.08+11208.66+5950.51+14985.74</f>
        <v>43284.99</v>
      </c>
      <c r="N17" s="55">
        <f>2109.62+2206.51+3194.57+3423.97+5102.52+2934+5453.59+3584.42+2676.3+2375.55+8062.12</f>
        <v>41123.170000000006</v>
      </c>
      <c r="O17" s="55">
        <f>6218.9+4765.07+1800+6447.27+3945.41+1260+5076.73+1984.5+6757.56+2816.73+2359.41</f>
        <v>43431.58</v>
      </c>
      <c r="P17" s="55">
        <f>4040.29+893.31+5301.55+2263.01+4119.35</f>
        <v>16617.510000000002</v>
      </c>
      <c r="Q17" s="55"/>
      <c r="R17" s="55">
        <f t="shared" si="0"/>
        <v>3542.75</v>
      </c>
      <c r="S17" s="60">
        <v>43119</v>
      </c>
      <c r="T17" s="59"/>
    </row>
    <row r="18" spans="1:20" ht="120" x14ac:dyDescent="0.25">
      <c r="A18" s="1" t="s">
        <v>97</v>
      </c>
      <c r="B18" s="28" t="s">
        <v>529</v>
      </c>
      <c r="C18" s="2"/>
      <c r="D18" s="3" t="s">
        <v>123</v>
      </c>
      <c r="E18" s="3" t="s">
        <v>50</v>
      </c>
      <c r="F18" s="37" t="s">
        <v>5</v>
      </c>
      <c r="G18" s="29" t="s">
        <v>48</v>
      </c>
      <c r="H18" s="4" t="s">
        <v>18</v>
      </c>
      <c r="I18" s="4" t="s">
        <v>18</v>
      </c>
      <c r="J18" s="180">
        <v>600000</v>
      </c>
      <c r="K18" s="5"/>
      <c r="L18" s="5"/>
      <c r="M18" s="7">
        <f>41734.59+18991.19+42340.69+11910.79+19964.13</f>
        <v>134941.39000000001</v>
      </c>
      <c r="N18" s="55">
        <f>7743.52+7975.27+6803.52+11996.02+5649.78+15375.37+12413.61+11846.18+11812.41+13378.85+13950.39+2979.32+12118.04</f>
        <v>134042.28</v>
      </c>
      <c r="O18" s="55">
        <f>8124.28+2892.23+12003.11+7738.08+10562.34+14456.22+5227.38+7549.64+16173.29+13810.81+18316.84+15306.31</f>
        <v>132160.53</v>
      </c>
      <c r="P18" s="55">
        <f>16750.92+5931.88+9534.07+11460.11+7208.27</f>
        <v>50885.25</v>
      </c>
      <c r="Q18" s="55"/>
      <c r="R18" s="55">
        <f t="shared" si="0"/>
        <v>147970.54999999993</v>
      </c>
      <c r="S18" s="60">
        <v>43119</v>
      </c>
      <c r="T18" s="59"/>
    </row>
    <row r="19" spans="1:20" ht="30" x14ac:dyDescent="0.25">
      <c r="A19" s="1" t="s">
        <v>351</v>
      </c>
      <c r="B19" s="28">
        <v>7364412907</v>
      </c>
      <c r="C19" s="2"/>
      <c r="D19" s="3" t="s">
        <v>123</v>
      </c>
      <c r="E19" s="3" t="s">
        <v>352</v>
      </c>
      <c r="F19" s="37" t="s">
        <v>5</v>
      </c>
      <c r="G19" s="29" t="s">
        <v>48</v>
      </c>
      <c r="H19" s="4" t="s">
        <v>353</v>
      </c>
      <c r="I19" s="4" t="s">
        <v>353</v>
      </c>
      <c r="J19" s="180">
        <v>54000</v>
      </c>
      <c r="K19" s="5"/>
      <c r="L19" s="5"/>
      <c r="M19" s="7">
        <v>553.20000000000005</v>
      </c>
      <c r="N19" s="55">
        <v>0</v>
      </c>
      <c r="O19" s="55">
        <f>31220.95</f>
        <v>31220.95</v>
      </c>
      <c r="P19" s="55"/>
      <c r="Q19" s="55"/>
      <c r="R19" s="55">
        <f t="shared" si="0"/>
        <v>22225.85</v>
      </c>
      <c r="S19" s="60">
        <v>43125</v>
      </c>
      <c r="T19" s="59"/>
    </row>
    <row r="20" spans="1:20" ht="44.25" customHeight="1" x14ac:dyDescent="0.25">
      <c r="A20" s="1" t="s">
        <v>354</v>
      </c>
      <c r="B20" s="28" t="s">
        <v>355</v>
      </c>
      <c r="C20" s="2"/>
      <c r="D20" s="3" t="s">
        <v>123</v>
      </c>
      <c r="E20" s="3" t="s">
        <v>356</v>
      </c>
      <c r="F20" s="37" t="s">
        <v>5</v>
      </c>
      <c r="G20" s="29" t="s">
        <v>614</v>
      </c>
      <c r="H20" s="4" t="s">
        <v>357</v>
      </c>
      <c r="I20" s="4" t="s">
        <v>357</v>
      </c>
      <c r="J20" s="180">
        <v>39900</v>
      </c>
      <c r="K20" s="5"/>
      <c r="L20" s="5"/>
      <c r="M20" s="7">
        <v>366</v>
      </c>
      <c r="N20" s="55">
        <v>0</v>
      </c>
      <c r="O20" s="55"/>
      <c r="P20" s="55"/>
      <c r="Q20" s="55"/>
      <c r="R20" s="55">
        <f t="shared" si="0"/>
        <v>39534</v>
      </c>
      <c r="S20" s="60">
        <v>43125</v>
      </c>
      <c r="T20" s="59"/>
    </row>
    <row r="21" spans="1:20" ht="60" x14ac:dyDescent="0.25">
      <c r="A21" s="1" t="s">
        <v>358</v>
      </c>
      <c r="B21" s="28" t="s">
        <v>359</v>
      </c>
      <c r="C21" s="2"/>
      <c r="D21" s="3" t="s">
        <v>123</v>
      </c>
      <c r="E21" s="3" t="s">
        <v>360</v>
      </c>
      <c r="F21" s="37" t="s">
        <v>5</v>
      </c>
      <c r="G21" s="29" t="s">
        <v>44</v>
      </c>
      <c r="H21" s="4" t="s">
        <v>832</v>
      </c>
      <c r="I21" s="4" t="s">
        <v>832</v>
      </c>
      <c r="J21" s="180">
        <v>39900</v>
      </c>
      <c r="K21" s="5"/>
      <c r="L21" s="5"/>
      <c r="M21" s="7">
        <v>0</v>
      </c>
      <c r="N21" s="55">
        <f>16644.18</f>
        <v>16644.18</v>
      </c>
      <c r="O21" s="55"/>
      <c r="P21" s="55"/>
      <c r="Q21" s="55"/>
      <c r="R21" s="55">
        <f t="shared" si="0"/>
        <v>23255.82</v>
      </c>
      <c r="S21" s="60">
        <v>43138</v>
      </c>
      <c r="T21" s="59"/>
    </row>
    <row r="22" spans="1:20" ht="30" x14ac:dyDescent="0.25">
      <c r="A22" s="1"/>
      <c r="B22" s="28" t="s">
        <v>553</v>
      </c>
      <c r="C22" s="2"/>
      <c r="D22" s="3"/>
      <c r="E22" s="3" t="s">
        <v>555</v>
      </c>
      <c r="F22" s="37" t="s">
        <v>6</v>
      </c>
      <c r="G22" s="29" t="s">
        <v>44</v>
      </c>
      <c r="H22" s="4" t="s">
        <v>554</v>
      </c>
      <c r="I22" s="4"/>
      <c r="J22" s="180"/>
      <c r="K22" s="5"/>
      <c r="L22" s="5"/>
      <c r="M22" s="7"/>
      <c r="N22" s="55"/>
      <c r="O22" s="55">
        <f>2100+3521.04</f>
        <v>5621.04</v>
      </c>
      <c r="P22" s="55"/>
      <c r="Q22" s="55"/>
      <c r="R22" s="55">
        <f t="shared" si="0"/>
        <v>-5621.04</v>
      </c>
      <c r="S22" s="60"/>
      <c r="T22" s="59"/>
    </row>
    <row r="23" spans="1:20" s="99" customFormat="1" ht="30" x14ac:dyDescent="0.25">
      <c r="A23" s="85" t="s">
        <v>51</v>
      </c>
      <c r="B23" s="82" t="s">
        <v>850</v>
      </c>
      <c r="C23" s="81"/>
      <c r="D23" s="110" t="s">
        <v>123</v>
      </c>
      <c r="E23" s="110" t="s">
        <v>52</v>
      </c>
      <c r="F23" s="94" t="s">
        <v>5</v>
      </c>
      <c r="G23" s="192" t="s">
        <v>44</v>
      </c>
      <c r="H23" s="93" t="s">
        <v>564</v>
      </c>
      <c r="I23" s="93" t="s">
        <v>564</v>
      </c>
      <c r="J23" s="185">
        <f>39900</f>
        <v>39900</v>
      </c>
      <c r="K23" s="92"/>
      <c r="L23" s="92"/>
      <c r="M23" s="88">
        <f>980+2666.48+1366.12</f>
        <v>5012.6000000000004</v>
      </c>
      <c r="N23" s="88">
        <v>0</v>
      </c>
      <c r="O23" s="88">
        <f>10340+1280</f>
        <v>11620</v>
      </c>
      <c r="P23" s="88"/>
      <c r="Q23" s="88"/>
      <c r="R23" s="55">
        <f t="shared" si="0"/>
        <v>23267.4</v>
      </c>
      <c r="S23" s="98">
        <v>43139</v>
      </c>
      <c r="T23" s="110"/>
    </row>
    <row r="24" spans="1:20" ht="30" x14ac:dyDescent="0.25">
      <c r="A24" s="1" t="s">
        <v>53</v>
      </c>
      <c r="B24" s="28" t="s">
        <v>54</v>
      </c>
      <c r="C24" s="2"/>
      <c r="D24" s="3" t="s">
        <v>123</v>
      </c>
      <c r="E24" s="3" t="s">
        <v>361</v>
      </c>
      <c r="F24" s="37" t="s">
        <v>5</v>
      </c>
      <c r="G24" s="29" t="s">
        <v>44</v>
      </c>
      <c r="H24" s="4" t="s">
        <v>55</v>
      </c>
      <c r="I24" s="4" t="s">
        <v>55</v>
      </c>
      <c r="J24" s="180">
        <v>39900</v>
      </c>
      <c r="K24" s="5"/>
      <c r="L24" s="5"/>
      <c r="M24" s="7">
        <v>0</v>
      </c>
      <c r="N24" s="55">
        <f>1800</f>
        <v>1800</v>
      </c>
      <c r="O24" s="55">
        <f>1800</f>
        <v>1800</v>
      </c>
      <c r="P24" s="55"/>
      <c r="Q24" s="55"/>
      <c r="R24" s="55">
        <f t="shared" si="0"/>
        <v>36300</v>
      </c>
      <c r="S24" s="60">
        <v>43144</v>
      </c>
      <c r="T24" s="59"/>
    </row>
    <row r="25" spans="1:20" ht="30" x14ac:dyDescent="0.25">
      <c r="A25" s="1" t="s">
        <v>56</v>
      </c>
      <c r="B25" s="28" t="s">
        <v>57</v>
      </c>
      <c r="C25" s="2"/>
      <c r="D25" s="3" t="s">
        <v>123</v>
      </c>
      <c r="E25" s="3" t="s">
        <v>58</v>
      </c>
      <c r="F25" s="37" t="s">
        <v>6</v>
      </c>
      <c r="G25" s="29" t="s">
        <v>44</v>
      </c>
      <c r="H25" s="4" t="s">
        <v>45</v>
      </c>
      <c r="I25" s="4" t="s">
        <v>45</v>
      </c>
      <c r="J25" s="180">
        <v>39900</v>
      </c>
      <c r="K25" s="5"/>
      <c r="L25" s="5"/>
      <c r="M25" s="7">
        <v>20124</v>
      </c>
      <c r="N25" s="55">
        <v>0</v>
      </c>
      <c r="O25" s="55"/>
      <c r="P25" s="55"/>
      <c r="Q25" s="55"/>
      <c r="R25" s="55">
        <f t="shared" si="0"/>
        <v>19776</v>
      </c>
      <c r="S25" s="60">
        <v>43147</v>
      </c>
      <c r="T25" s="59"/>
    </row>
    <row r="26" spans="1:20" ht="30" x14ac:dyDescent="0.25">
      <c r="A26" s="1" t="s">
        <v>59</v>
      </c>
      <c r="B26" s="28" t="s">
        <v>60</v>
      </c>
      <c r="C26" s="2"/>
      <c r="D26" s="3" t="s">
        <v>123</v>
      </c>
      <c r="E26" s="3" t="s">
        <v>61</v>
      </c>
      <c r="F26" s="37" t="s">
        <v>6</v>
      </c>
      <c r="G26" s="29" t="s">
        <v>44</v>
      </c>
      <c r="H26" s="4" t="s">
        <v>45</v>
      </c>
      <c r="I26" s="4" t="s">
        <v>45</v>
      </c>
      <c r="J26" s="180">
        <v>39900</v>
      </c>
      <c r="K26" s="5"/>
      <c r="L26" s="5"/>
      <c r="M26" s="7">
        <v>14206.4</v>
      </c>
      <c r="N26" s="55">
        <v>0</v>
      </c>
      <c r="O26" s="55"/>
      <c r="P26" s="55"/>
      <c r="Q26" s="55"/>
      <c r="R26" s="55">
        <f t="shared" si="0"/>
        <v>25693.599999999999</v>
      </c>
      <c r="S26" s="60">
        <v>43147</v>
      </c>
      <c r="T26" s="59"/>
    </row>
    <row r="27" spans="1:20" ht="30" x14ac:dyDescent="0.25">
      <c r="A27" s="1" t="s">
        <v>362</v>
      </c>
      <c r="B27" s="28" t="s">
        <v>363</v>
      </c>
      <c r="C27" s="2"/>
      <c r="D27" s="3" t="s">
        <v>123</v>
      </c>
      <c r="E27" s="3" t="s">
        <v>364</v>
      </c>
      <c r="F27" s="37" t="s">
        <v>6</v>
      </c>
      <c r="G27" s="29" t="s">
        <v>2</v>
      </c>
      <c r="H27" s="4" t="s">
        <v>365</v>
      </c>
      <c r="I27" s="4" t="s">
        <v>365</v>
      </c>
      <c r="J27" s="180">
        <v>15000</v>
      </c>
      <c r="K27" s="5"/>
      <c r="L27" s="5"/>
      <c r="M27" s="7">
        <f>260+260+260+1100+260+260+260+260+260+260</f>
        <v>3440</v>
      </c>
      <c r="N27" s="55">
        <f>260+260+260+260+260+260</f>
        <v>1560</v>
      </c>
      <c r="O27" s="55"/>
      <c r="P27" s="55"/>
      <c r="Q27" s="55"/>
      <c r="R27" s="55">
        <f t="shared" si="0"/>
        <v>10000</v>
      </c>
      <c r="S27" s="60">
        <v>43174</v>
      </c>
      <c r="T27" s="59"/>
    </row>
    <row r="28" spans="1:20" s="42" customFormat="1" ht="135" x14ac:dyDescent="0.25">
      <c r="A28" s="38" t="s">
        <v>159</v>
      </c>
      <c r="B28" s="39">
        <v>7447454974</v>
      </c>
      <c r="C28" s="40"/>
      <c r="D28" s="3" t="s">
        <v>123</v>
      </c>
      <c r="E28" s="41" t="s">
        <v>162</v>
      </c>
      <c r="F28" s="37" t="s">
        <v>4</v>
      </c>
      <c r="G28" s="29" t="s">
        <v>62</v>
      </c>
      <c r="H28" s="4" t="s">
        <v>99</v>
      </c>
      <c r="I28" s="4" t="s">
        <v>99</v>
      </c>
      <c r="J28" s="181">
        <v>149000</v>
      </c>
      <c r="K28" s="44"/>
      <c r="L28" s="5"/>
      <c r="M28" s="7">
        <v>0</v>
      </c>
      <c r="N28" s="58">
        <f>25363.05</f>
        <v>25363.05</v>
      </c>
      <c r="O28" s="65"/>
      <c r="P28" s="65"/>
      <c r="Q28" s="65"/>
      <c r="R28" s="55">
        <f t="shared" si="0"/>
        <v>123636.95</v>
      </c>
      <c r="S28" s="60"/>
      <c r="T28" s="59"/>
    </row>
    <row r="29" spans="1:20" customFormat="1" ht="30" x14ac:dyDescent="0.25">
      <c r="A29" s="1" t="s">
        <v>546</v>
      </c>
      <c r="B29" s="66" t="s">
        <v>547</v>
      </c>
      <c r="C29" s="54"/>
      <c r="D29" s="3" t="s">
        <v>123</v>
      </c>
      <c r="E29" s="59" t="s">
        <v>548</v>
      </c>
      <c r="F29" s="67" t="s">
        <v>6</v>
      </c>
      <c r="G29" s="68" t="s">
        <v>44</v>
      </c>
      <c r="H29" s="69" t="s">
        <v>549</v>
      </c>
      <c r="I29" s="69" t="s">
        <v>549</v>
      </c>
      <c r="J29" s="182">
        <v>39900</v>
      </c>
      <c r="K29" s="66"/>
      <c r="L29" s="60">
        <v>44926</v>
      </c>
      <c r="M29" s="54"/>
      <c r="N29" s="55">
        <f>2537.6+2537.6+3806.4</f>
        <v>8881.6</v>
      </c>
      <c r="O29" s="55">
        <f>3660+2440+2537.6</f>
        <v>8637.6</v>
      </c>
      <c r="P29" s="55">
        <v>2660</v>
      </c>
      <c r="Q29" s="55"/>
      <c r="R29" s="55">
        <f t="shared" si="0"/>
        <v>19720.8</v>
      </c>
      <c r="S29" s="66"/>
      <c r="T29" s="56"/>
    </row>
    <row r="30" spans="1:20" s="42" customFormat="1" ht="45" x14ac:dyDescent="0.25">
      <c r="A30" s="38" t="s">
        <v>366</v>
      </c>
      <c r="B30" s="39" t="s">
        <v>367</v>
      </c>
      <c r="C30" s="40"/>
      <c r="D30" s="3" t="s">
        <v>123</v>
      </c>
      <c r="E30" s="41" t="s">
        <v>368</v>
      </c>
      <c r="F30" s="37" t="s">
        <v>6</v>
      </c>
      <c r="G30" s="29" t="s">
        <v>2</v>
      </c>
      <c r="H30" s="4" t="s">
        <v>369</v>
      </c>
      <c r="I30" s="4" t="s">
        <v>369</v>
      </c>
      <c r="J30" s="181">
        <v>39900</v>
      </c>
      <c r="K30" s="44"/>
      <c r="L30" s="5"/>
      <c r="M30" s="7">
        <f>3000+6000</f>
        <v>9000</v>
      </c>
      <c r="N30" s="55">
        <f>9000</f>
        <v>9000</v>
      </c>
      <c r="O30" s="55"/>
      <c r="P30" s="55"/>
      <c r="Q30" s="55"/>
      <c r="R30" s="55">
        <f t="shared" si="0"/>
        <v>21900</v>
      </c>
      <c r="S30" s="61">
        <v>43214</v>
      </c>
      <c r="T30" s="59"/>
    </row>
    <row r="31" spans="1:20" s="42" customFormat="1" ht="30" x14ac:dyDescent="0.25">
      <c r="A31" s="38" t="s">
        <v>370</v>
      </c>
      <c r="B31" s="39" t="s">
        <v>371</v>
      </c>
      <c r="C31" s="40"/>
      <c r="D31" s="3" t="s">
        <v>123</v>
      </c>
      <c r="E31" s="41" t="s">
        <v>372</v>
      </c>
      <c r="F31" s="37" t="s">
        <v>6</v>
      </c>
      <c r="G31" s="29" t="s">
        <v>44</v>
      </c>
      <c r="H31" s="4" t="s">
        <v>17</v>
      </c>
      <c r="I31" s="4" t="s">
        <v>17</v>
      </c>
      <c r="J31" s="181">
        <v>39000</v>
      </c>
      <c r="K31" s="44"/>
      <c r="L31" s="5"/>
      <c r="M31" s="7">
        <f>5285</f>
        <v>5285</v>
      </c>
      <c r="N31" s="55">
        <f>1110.2+1419.6</f>
        <v>2529.8000000000002</v>
      </c>
      <c r="O31" s="55"/>
      <c r="P31" s="55"/>
      <c r="Q31" s="55"/>
      <c r="R31" s="55">
        <f t="shared" si="0"/>
        <v>31185.200000000001</v>
      </c>
      <c r="S31" s="61">
        <v>43266</v>
      </c>
      <c r="T31" s="59"/>
    </row>
    <row r="32" spans="1:20" s="42" customFormat="1" ht="30" x14ac:dyDescent="0.25">
      <c r="A32" s="38" t="s">
        <v>373</v>
      </c>
      <c r="B32" s="39" t="s">
        <v>374</v>
      </c>
      <c r="C32" s="40"/>
      <c r="D32" s="3" t="s">
        <v>123</v>
      </c>
      <c r="E32" s="41" t="s">
        <v>375</v>
      </c>
      <c r="F32" s="37" t="s">
        <v>5</v>
      </c>
      <c r="G32" s="29" t="s">
        <v>2</v>
      </c>
      <c r="H32" s="4" t="s">
        <v>376</v>
      </c>
      <c r="I32" s="4" t="s">
        <v>376</v>
      </c>
      <c r="J32" s="181">
        <v>376700</v>
      </c>
      <c r="K32" s="44"/>
      <c r="L32" s="5"/>
      <c r="M32" s="7">
        <f>15539.59+262062.92</f>
        <v>277602.51</v>
      </c>
      <c r="N32" s="55">
        <f>3450.5+6876.5+55141.66</f>
        <v>65468.66</v>
      </c>
      <c r="O32" s="55"/>
      <c r="P32" s="55"/>
      <c r="Q32" s="55"/>
      <c r="R32" s="55">
        <f t="shared" si="0"/>
        <v>33628.829999999958</v>
      </c>
      <c r="S32" s="61">
        <v>43271</v>
      </c>
      <c r="T32" s="59"/>
    </row>
    <row r="33" spans="1:20" s="42" customFormat="1" ht="30" x14ac:dyDescent="0.25">
      <c r="A33" s="38" t="s">
        <v>377</v>
      </c>
      <c r="B33" s="39" t="s">
        <v>378</v>
      </c>
      <c r="C33" s="40"/>
      <c r="D33" s="3" t="s">
        <v>123</v>
      </c>
      <c r="E33" s="41" t="s">
        <v>379</v>
      </c>
      <c r="F33" s="37" t="s">
        <v>6</v>
      </c>
      <c r="G33" s="29" t="s">
        <v>44</v>
      </c>
      <c r="H33" s="4" t="s">
        <v>826</v>
      </c>
      <c r="I33" s="4" t="s">
        <v>826</v>
      </c>
      <c r="J33" s="181">
        <v>39900</v>
      </c>
      <c r="K33" s="44"/>
      <c r="L33" s="5"/>
      <c r="M33" s="7">
        <f>772.69+4160+14755.71</f>
        <v>19688.400000000001</v>
      </c>
      <c r="N33" s="55">
        <f>18603.72+14755.38</f>
        <v>33359.1</v>
      </c>
      <c r="O33" s="55"/>
      <c r="P33" s="55">
        <v>4409.99</v>
      </c>
      <c r="Q33" s="55"/>
      <c r="R33" s="235">
        <f t="shared" si="0"/>
        <v>-17557.489999999998</v>
      </c>
      <c r="S33" s="61">
        <v>43279</v>
      </c>
      <c r="T33" s="59"/>
    </row>
    <row r="34" spans="1:20" s="42" customFormat="1" ht="30" x14ac:dyDescent="0.25">
      <c r="A34" s="38" t="s">
        <v>380</v>
      </c>
      <c r="B34" s="39" t="s">
        <v>381</v>
      </c>
      <c r="C34" s="40"/>
      <c r="D34" s="3" t="s">
        <v>123</v>
      </c>
      <c r="E34" s="41" t="s">
        <v>382</v>
      </c>
      <c r="F34" s="37" t="s">
        <v>5</v>
      </c>
      <c r="G34" s="29" t="s">
        <v>2</v>
      </c>
      <c r="H34" s="4" t="s">
        <v>63</v>
      </c>
      <c r="I34" s="4" t="s">
        <v>63</v>
      </c>
      <c r="J34" s="181">
        <v>39900</v>
      </c>
      <c r="K34" s="44"/>
      <c r="L34" s="5"/>
      <c r="M34" s="7">
        <f>6198.5+5637.5+4400+1636</f>
        <v>17872</v>
      </c>
      <c r="N34" s="55">
        <f>2965+2956.5+1261+1069.5+637.5+1233+1564</f>
        <v>11686.5</v>
      </c>
      <c r="O34" s="55"/>
      <c r="P34" s="55"/>
      <c r="Q34" s="55"/>
      <c r="R34" s="55">
        <f t="shared" si="0"/>
        <v>10341.5</v>
      </c>
      <c r="S34" s="61">
        <v>43290</v>
      </c>
      <c r="T34" s="59"/>
    </row>
    <row r="35" spans="1:20" s="42" customFormat="1" ht="30" x14ac:dyDescent="0.25">
      <c r="A35" s="38" t="s">
        <v>383</v>
      </c>
      <c r="B35" s="39" t="s">
        <v>384</v>
      </c>
      <c r="C35" s="40"/>
      <c r="D35" s="3" t="s">
        <v>123</v>
      </c>
      <c r="E35" s="41" t="s">
        <v>385</v>
      </c>
      <c r="F35" s="37" t="s">
        <v>6</v>
      </c>
      <c r="G35" s="29" t="s">
        <v>44</v>
      </c>
      <c r="H35" s="4" t="s">
        <v>386</v>
      </c>
      <c r="I35" s="4" t="s">
        <v>386</v>
      </c>
      <c r="J35" s="181">
        <v>39900</v>
      </c>
      <c r="K35" s="44"/>
      <c r="L35" s="5"/>
      <c r="M35" s="7">
        <f>390.4+67+237+327.39</f>
        <v>1021.79</v>
      </c>
      <c r="N35" s="55">
        <f>41.55+22.85+276.09+60+305+153+448.5+130+234.81</f>
        <v>1671.8</v>
      </c>
      <c r="O35" s="55">
        <f>2480</f>
        <v>2480</v>
      </c>
      <c r="P35" s="55"/>
      <c r="Q35" s="55"/>
      <c r="R35" s="55">
        <f t="shared" si="0"/>
        <v>34726.410000000003</v>
      </c>
      <c r="S35" s="61">
        <v>43293</v>
      </c>
    </row>
    <row r="36" spans="1:20" s="42" customFormat="1" ht="45" x14ac:dyDescent="0.25">
      <c r="A36" s="38" t="s">
        <v>387</v>
      </c>
      <c r="B36" s="39">
        <v>7620680015</v>
      </c>
      <c r="C36" s="40"/>
      <c r="D36" s="3" t="s">
        <v>123</v>
      </c>
      <c r="E36" s="41" t="s">
        <v>388</v>
      </c>
      <c r="F36" s="37" t="s">
        <v>5</v>
      </c>
      <c r="G36" s="29" t="s">
        <v>2</v>
      </c>
      <c r="H36" s="4" t="s">
        <v>389</v>
      </c>
      <c r="I36" s="4" t="s">
        <v>389</v>
      </c>
      <c r="J36" s="181">
        <v>105400</v>
      </c>
      <c r="K36" s="44"/>
      <c r="L36" s="5"/>
      <c r="M36" s="7">
        <v>0</v>
      </c>
      <c r="N36" s="55">
        <f>52572.25</f>
        <v>52572.25</v>
      </c>
      <c r="O36" s="55">
        <f>30515.14</f>
        <v>30515.14</v>
      </c>
      <c r="P36" s="55"/>
      <c r="Q36" s="55"/>
      <c r="R36" s="55">
        <f t="shared" si="0"/>
        <v>22312.61</v>
      </c>
      <c r="S36" s="61">
        <v>43354</v>
      </c>
      <c r="T36" s="56"/>
    </row>
    <row r="37" spans="1:20" s="42" customFormat="1" ht="60" x14ac:dyDescent="0.25">
      <c r="A37" s="38" t="s">
        <v>64</v>
      </c>
      <c r="B37" s="39" t="s">
        <v>65</v>
      </c>
      <c r="C37" s="40" t="s">
        <v>222</v>
      </c>
      <c r="D37" s="3" t="s">
        <v>123</v>
      </c>
      <c r="E37" s="41" t="s">
        <v>550</v>
      </c>
      <c r="F37" s="37" t="s">
        <v>5</v>
      </c>
      <c r="G37" s="29" t="s">
        <v>44</v>
      </c>
      <c r="H37" s="4" t="s">
        <v>551</v>
      </c>
      <c r="I37" s="4" t="s">
        <v>551</v>
      </c>
      <c r="J37" s="181">
        <v>39900</v>
      </c>
      <c r="K37" s="44"/>
      <c r="L37" s="5"/>
      <c r="M37" s="7">
        <v>0</v>
      </c>
      <c r="N37" s="55">
        <v>0</v>
      </c>
      <c r="O37" s="55">
        <f>2095.2+890+5448.7+9900</f>
        <v>18333.900000000001</v>
      </c>
      <c r="P37" s="55">
        <f>6500+3340+2050</f>
        <v>11890</v>
      </c>
      <c r="Q37" s="55">
        <f>1696.2+720+1190</f>
        <v>3606.2</v>
      </c>
      <c r="R37" s="55">
        <f>J37-(M37+N37+O37+P37+Q37)</f>
        <v>6069.9000000000015</v>
      </c>
      <c r="S37" s="71"/>
      <c r="T37" s="56" t="s">
        <v>1107</v>
      </c>
    </row>
    <row r="38" spans="1:20" s="42" customFormat="1" ht="45" x14ac:dyDescent="0.25">
      <c r="A38" s="38" t="s">
        <v>66</v>
      </c>
      <c r="B38" s="39" t="s">
        <v>67</v>
      </c>
      <c r="C38" s="40" t="s">
        <v>222</v>
      </c>
      <c r="D38" s="3" t="s">
        <v>123</v>
      </c>
      <c r="E38" s="41" t="s">
        <v>68</v>
      </c>
      <c r="F38" s="37" t="s">
        <v>5</v>
      </c>
      <c r="G38" s="29" t="s">
        <v>44</v>
      </c>
      <c r="H38" s="4" t="s">
        <v>552</v>
      </c>
      <c r="I38" s="4" t="s">
        <v>552</v>
      </c>
      <c r="J38" s="181">
        <v>39900</v>
      </c>
      <c r="K38" s="44"/>
      <c r="L38" s="5"/>
      <c r="M38" s="7">
        <v>0</v>
      </c>
      <c r="N38" s="55">
        <f>38500</f>
        <v>38500</v>
      </c>
      <c r="O38" s="55"/>
      <c r="P38" s="55"/>
      <c r="Q38" s="55"/>
      <c r="R38" s="55">
        <f t="shared" si="0"/>
        <v>1400</v>
      </c>
      <c r="S38" s="71"/>
      <c r="T38" s="59"/>
    </row>
    <row r="39" spans="1:20" s="42" customFormat="1" ht="30" x14ac:dyDescent="0.25">
      <c r="A39" s="38" t="s">
        <v>69</v>
      </c>
      <c r="B39" s="39" t="s">
        <v>70</v>
      </c>
      <c r="C39" s="40" t="s">
        <v>222</v>
      </c>
      <c r="D39" s="3" t="s">
        <v>123</v>
      </c>
      <c r="E39" s="41" t="s">
        <v>71</v>
      </c>
      <c r="F39" s="37" t="s">
        <v>5</v>
      </c>
      <c r="G39" s="29" t="s">
        <v>44</v>
      </c>
      <c r="H39" s="4" t="s">
        <v>93</v>
      </c>
      <c r="I39" s="4" t="s">
        <v>93</v>
      </c>
      <c r="J39" s="181">
        <v>39900</v>
      </c>
      <c r="K39" s="44"/>
      <c r="L39" s="5"/>
      <c r="M39" s="7">
        <v>0</v>
      </c>
      <c r="N39" s="55">
        <v>0</v>
      </c>
      <c r="O39" s="55">
        <f>25771+1497.3</f>
        <v>27268.3</v>
      </c>
      <c r="P39" s="55"/>
      <c r="Q39" s="55"/>
      <c r="R39" s="55">
        <f t="shared" si="0"/>
        <v>12631.7</v>
      </c>
      <c r="S39" s="71"/>
      <c r="T39" s="56"/>
    </row>
    <row r="40" spans="1:20" s="42" customFormat="1" ht="30" x14ac:dyDescent="0.25">
      <c r="A40" s="38" t="s">
        <v>72</v>
      </c>
      <c r="B40" s="39" t="s">
        <v>73</v>
      </c>
      <c r="C40" s="40" t="s">
        <v>222</v>
      </c>
      <c r="D40" s="3" t="s">
        <v>123</v>
      </c>
      <c r="E40" s="41" t="s">
        <v>74</v>
      </c>
      <c r="F40" s="37" t="s">
        <v>5</v>
      </c>
      <c r="G40" s="29" t="s">
        <v>44</v>
      </c>
      <c r="H40" s="4" t="s">
        <v>75</v>
      </c>
      <c r="I40" s="4" t="s">
        <v>75</v>
      </c>
      <c r="J40" s="181">
        <v>39900</v>
      </c>
      <c r="K40" s="44"/>
      <c r="L40" s="5"/>
      <c r="M40" s="7">
        <v>1500</v>
      </c>
      <c r="N40" s="55">
        <v>0</v>
      </c>
      <c r="O40" s="55"/>
      <c r="P40" s="55"/>
      <c r="Q40" s="55"/>
      <c r="R40" s="55">
        <f t="shared" si="0"/>
        <v>38400</v>
      </c>
      <c r="S40" s="71"/>
      <c r="T40" s="59"/>
    </row>
    <row r="41" spans="1:20" s="42" customFormat="1" ht="30" x14ac:dyDescent="0.25">
      <c r="A41" s="38" t="s">
        <v>76</v>
      </c>
      <c r="B41" s="39" t="s">
        <v>77</v>
      </c>
      <c r="C41" s="40"/>
      <c r="D41" s="3" t="s">
        <v>123</v>
      </c>
      <c r="E41" s="41" t="s">
        <v>78</v>
      </c>
      <c r="F41" s="37" t="s">
        <v>6</v>
      </c>
      <c r="G41" s="29" t="s">
        <v>2</v>
      </c>
      <c r="H41" s="4" t="s">
        <v>79</v>
      </c>
      <c r="I41" s="4" t="s">
        <v>79</v>
      </c>
      <c r="J41" s="181">
        <v>39900</v>
      </c>
      <c r="K41" s="44"/>
      <c r="L41" s="5"/>
      <c r="M41" s="7">
        <v>0</v>
      </c>
      <c r="N41" s="7">
        <v>0</v>
      </c>
      <c r="O41" s="7"/>
      <c r="P41" s="7"/>
      <c r="Q41" s="7"/>
      <c r="R41" s="55">
        <f t="shared" si="0"/>
        <v>39900</v>
      </c>
      <c r="S41" s="53">
        <v>43370</v>
      </c>
      <c r="T41" s="41"/>
    </row>
    <row r="42" spans="1:20" s="42" customFormat="1" ht="105" x14ac:dyDescent="0.25">
      <c r="A42" s="38" t="s">
        <v>390</v>
      </c>
      <c r="B42" s="39" t="s">
        <v>391</v>
      </c>
      <c r="C42" s="40"/>
      <c r="D42" s="3" t="s">
        <v>123</v>
      </c>
      <c r="E42" s="41" t="s">
        <v>392</v>
      </c>
      <c r="F42" s="37" t="s">
        <v>6</v>
      </c>
      <c r="G42" s="29" t="s">
        <v>2</v>
      </c>
      <c r="H42" s="4" t="s">
        <v>393</v>
      </c>
      <c r="I42" s="4" t="s">
        <v>393</v>
      </c>
      <c r="J42" s="181">
        <v>39900</v>
      </c>
      <c r="K42" s="44"/>
      <c r="L42" s="5"/>
      <c r="M42" s="7">
        <v>0</v>
      </c>
      <c r="N42" s="55">
        <f>4440+2500+17000</f>
        <v>23940</v>
      </c>
      <c r="O42" s="55">
        <f>3380</f>
        <v>3380</v>
      </c>
      <c r="P42" s="55">
        <f>890.63+3380+375+593.75+718.75+2562.5+375+1062.5+1140.63+2593.75+2500</f>
        <v>16192.510000000002</v>
      </c>
      <c r="Q42" s="55">
        <f>1593.76+3508.44+1343.75+250+1093.75+1250.01</f>
        <v>9039.7099999999991</v>
      </c>
      <c r="R42" s="235">
        <f>J42-(M42+N42+O42+P42+Q42)</f>
        <v>-12652.220000000001</v>
      </c>
      <c r="S42" s="61">
        <v>43378</v>
      </c>
      <c r="T42" s="59" t="s">
        <v>1108</v>
      </c>
    </row>
    <row r="43" spans="1:20" s="42" customFormat="1" ht="45" x14ac:dyDescent="0.25">
      <c r="A43" s="38" t="s">
        <v>80</v>
      </c>
      <c r="B43" s="39" t="s">
        <v>81</v>
      </c>
      <c r="C43" s="40" t="s">
        <v>222</v>
      </c>
      <c r="D43" s="3" t="s">
        <v>123</v>
      </c>
      <c r="E43" s="41" t="s">
        <v>82</v>
      </c>
      <c r="F43" s="37" t="s">
        <v>6</v>
      </c>
      <c r="G43" s="29" t="s">
        <v>2</v>
      </c>
      <c r="H43" s="4" t="s">
        <v>45</v>
      </c>
      <c r="I43" s="4" t="s">
        <v>45</v>
      </c>
      <c r="J43" s="181">
        <v>25000</v>
      </c>
      <c r="K43" s="44"/>
      <c r="L43" s="5"/>
      <c r="M43" s="7">
        <v>0</v>
      </c>
      <c r="N43" s="55">
        <f>3740.88+2842.32</f>
        <v>6583.2000000000007</v>
      </c>
      <c r="O43" s="55"/>
      <c r="P43" s="55">
        <f>6552</f>
        <v>6552</v>
      </c>
      <c r="Q43" s="55"/>
      <c r="R43" s="55">
        <f t="shared" si="0"/>
        <v>11864.8</v>
      </c>
      <c r="S43" s="61">
        <v>43388</v>
      </c>
      <c r="T43" s="56"/>
    </row>
    <row r="44" spans="1:20" s="42" customFormat="1" ht="30" x14ac:dyDescent="0.25">
      <c r="A44" s="38" t="s">
        <v>83</v>
      </c>
      <c r="B44" s="39" t="s">
        <v>84</v>
      </c>
      <c r="C44" s="40"/>
      <c r="D44" s="3" t="s">
        <v>123</v>
      </c>
      <c r="E44" s="41" t="s">
        <v>85</v>
      </c>
      <c r="F44" s="37" t="s">
        <v>6</v>
      </c>
      <c r="G44" s="29" t="s">
        <v>2</v>
      </c>
      <c r="H44" s="4" t="s">
        <v>79</v>
      </c>
      <c r="I44" s="4" t="s">
        <v>79</v>
      </c>
      <c r="J44" s="181">
        <v>39900</v>
      </c>
      <c r="K44" s="44"/>
      <c r="L44" s="5"/>
      <c r="M44" s="7">
        <v>0</v>
      </c>
      <c r="N44" s="55">
        <f>1500+1500+1500</f>
        <v>4500</v>
      </c>
      <c r="O44" s="55">
        <f>1500+1500+1500</f>
        <v>4500</v>
      </c>
      <c r="P44" s="55"/>
      <c r="Q44" s="55"/>
      <c r="R44" s="55">
        <f t="shared" si="0"/>
        <v>30900</v>
      </c>
      <c r="S44" s="72"/>
      <c r="T44" s="56"/>
    </row>
    <row r="45" spans="1:20" s="42" customFormat="1" ht="60" x14ac:dyDescent="0.25">
      <c r="A45" s="38" t="s">
        <v>86</v>
      </c>
      <c r="B45" s="39" t="s">
        <v>87</v>
      </c>
      <c r="C45" s="40"/>
      <c r="D45" s="3" t="s">
        <v>123</v>
      </c>
      <c r="E45" s="41" t="s">
        <v>88</v>
      </c>
      <c r="F45" s="37" t="s">
        <v>6</v>
      </c>
      <c r="G45" s="29" t="s">
        <v>2</v>
      </c>
      <c r="H45" s="4" t="s">
        <v>45</v>
      </c>
      <c r="I45" s="4" t="s">
        <v>45</v>
      </c>
      <c r="J45" s="181">
        <v>25000</v>
      </c>
      <c r="K45" s="44"/>
      <c r="L45" s="5"/>
      <c r="M45" s="7">
        <v>0</v>
      </c>
      <c r="N45" s="7">
        <v>0</v>
      </c>
      <c r="O45" s="7"/>
      <c r="P45" s="7"/>
      <c r="Q45" s="7"/>
      <c r="R45" s="55">
        <f t="shared" si="0"/>
        <v>25000</v>
      </c>
      <c r="S45" s="53">
        <v>43410</v>
      </c>
      <c r="T45" s="41"/>
    </row>
    <row r="46" spans="1:20" ht="45" x14ac:dyDescent="0.25">
      <c r="A46" s="1" t="s">
        <v>394</v>
      </c>
      <c r="B46" s="28" t="s">
        <v>395</v>
      </c>
      <c r="C46" s="2"/>
      <c r="D46" s="3" t="s">
        <v>123</v>
      </c>
      <c r="E46" s="3" t="s">
        <v>396</v>
      </c>
      <c r="F46" s="37" t="s">
        <v>4</v>
      </c>
      <c r="G46" s="29" t="s">
        <v>44</v>
      </c>
      <c r="H46" s="4" t="s">
        <v>397</v>
      </c>
      <c r="I46" s="4" t="s">
        <v>397</v>
      </c>
      <c r="J46" s="180">
        <v>39900</v>
      </c>
      <c r="K46" s="5"/>
      <c r="L46" s="43">
        <v>43646</v>
      </c>
      <c r="M46" s="7">
        <f>443.1</f>
        <v>443.1</v>
      </c>
      <c r="N46" s="55">
        <f>(215+307.5+215)+(3804.6)+3528.97+121.75+233.39+1993.47+2220.53+1257.08</f>
        <v>13897.289999999999</v>
      </c>
      <c r="O46" s="55"/>
      <c r="P46" s="55"/>
      <c r="Q46" s="55"/>
      <c r="R46" s="55">
        <f t="shared" si="0"/>
        <v>25559.61</v>
      </c>
      <c r="S46" s="60">
        <v>43413</v>
      </c>
      <c r="T46" s="59"/>
    </row>
    <row r="47" spans="1:20" ht="30" x14ac:dyDescent="0.25">
      <c r="A47" s="1" t="s">
        <v>398</v>
      </c>
      <c r="B47" s="28" t="s">
        <v>399</v>
      </c>
      <c r="C47" s="2"/>
      <c r="D47" s="3" t="s">
        <v>123</v>
      </c>
      <c r="E47" s="3" t="s">
        <v>400</v>
      </c>
      <c r="F47" s="37" t="s">
        <v>4</v>
      </c>
      <c r="G47" s="29" t="s">
        <v>2</v>
      </c>
      <c r="H47" s="4" t="s">
        <v>89</v>
      </c>
      <c r="I47" s="4" t="s">
        <v>89</v>
      </c>
      <c r="J47" s="180">
        <v>39900</v>
      </c>
      <c r="K47" s="5"/>
      <c r="L47" s="5"/>
      <c r="M47" s="7">
        <f>880</f>
        <v>880</v>
      </c>
      <c r="N47" s="55">
        <f>709.44+880+295.2+880+601.2+440+301.6+310.7+440+440+440+880+644.8+317.2+440+440+284.7</f>
        <v>8744.84</v>
      </c>
      <c r="O47" s="55">
        <f>440</f>
        <v>440</v>
      </c>
      <c r="P47" s="55"/>
      <c r="Q47" s="55"/>
      <c r="R47" s="55">
        <f t="shared" si="0"/>
        <v>29835.16</v>
      </c>
      <c r="S47" s="60">
        <v>43437</v>
      </c>
      <c r="T47" s="59"/>
    </row>
    <row r="48" spans="1:20" ht="30" x14ac:dyDescent="0.25">
      <c r="A48" s="1" t="s">
        <v>401</v>
      </c>
      <c r="B48" s="28" t="s">
        <v>402</v>
      </c>
      <c r="C48" s="2"/>
      <c r="D48" s="3" t="s">
        <v>123</v>
      </c>
      <c r="E48" s="3" t="s">
        <v>403</v>
      </c>
      <c r="F48" s="37" t="s">
        <v>5</v>
      </c>
      <c r="G48" s="29" t="s">
        <v>44</v>
      </c>
      <c r="H48" s="4" t="s">
        <v>404</v>
      </c>
      <c r="I48" s="4" t="s">
        <v>404</v>
      </c>
      <c r="J48" s="180">
        <v>39900</v>
      </c>
      <c r="K48" s="5"/>
      <c r="L48" s="5"/>
      <c r="M48" s="7">
        <v>0</v>
      </c>
      <c r="N48" s="55">
        <v>0</v>
      </c>
      <c r="O48" s="55"/>
      <c r="P48" s="55"/>
      <c r="Q48" s="55"/>
      <c r="R48" s="55">
        <f t="shared" si="0"/>
        <v>39900</v>
      </c>
      <c r="S48" s="60">
        <v>43439</v>
      </c>
      <c r="T48" s="59"/>
    </row>
    <row r="49" spans="1:20" s="42" customFormat="1" ht="30" x14ac:dyDescent="0.25">
      <c r="A49" s="38" t="s">
        <v>405</v>
      </c>
      <c r="B49" s="28" t="s">
        <v>406</v>
      </c>
      <c r="C49" s="40"/>
      <c r="D49" s="3" t="s">
        <v>123</v>
      </c>
      <c r="E49" s="3" t="s">
        <v>407</v>
      </c>
      <c r="F49" s="37" t="s">
        <v>5</v>
      </c>
      <c r="G49" s="29" t="s">
        <v>44</v>
      </c>
      <c r="H49" s="3" t="s">
        <v>18</v>
      </c>
      <c r="I49" s="3" t="s">
        <v>18</v>
      </c>
      <c r="J49" s="181">
        <v>30000</v>
      </c>
      <c r="K49" s="44"/>
      <c r="L49" s="5"/>
      <c r="M49" s="7">
        <v>0</v>
      </c>
      <c r="N49" s="55">
        <f>6608.53</f>
        <v>6608.53</v>
      </c>
      <c r="O49" s="55"/>
      <c r="P49" s="55"/>
      <c r="Q49" s="55"/>
      <c r="R49" s="55">
        <f t="shared" si="0"/>
        <v>23391.47</v>
      </c>
      <c r="S49" s="60">
        <v>43447</v>
      </c>
      <c r="T49" s="59"/>
    </row>
    <row r="50" spans="1:20" s="42" customFormat="1" ht="30" x14ac:dyDescent="0.25">
      <c r="A50" s="38" t="s">
        <v>96</v>
      </c>
      <c r="B50" s="39" t="s">
        <v>90</v>
      </c>
      <c r="C50" s="40"/>
      <c r="D50" s="3" t="s">
        <v>123</v>
      </c>
      <c r="E50" s="41" t="s">
        <v>91</v>
      </c>
      <c r="F50" s="37" t="s">
        <v>6</v>
      </c>
      <c r="G50" s="29" t="s">
        <v>44</v>
      </c>
      <c r="H50" s="4" t="s">
        <v>92</v>
      </c>
      <c r="I50" s="4" t="s">
        <v>92</v>
      </c>
      <c r="J50" s="181">
        <v>25000</v>
      </c>
      <c r="K50" s="44"/>
      <c r="L50" s="5"/>
      <c r="M50" s="7">
        <v>1255.5</v>
      </c>
      <c r="N50" s="55">
        <f>3159+2592+2578.5+2808+1728+2592+1390.5+2369.25+1944+2592</f>
        <v>23753.25</v>
      </c>
      <c r="O50" s="55"/>
      <c r="P50" s="55"/>
      <c r="Q50" s="55"/>
      <c r="R50" s="55">
        <f t="shared" si="0"/>
        <v>-8.75</v>
      </c>
      <c r="S50" s="61">
        <v>43456</v>
      </c>
      <c r="T50" s="59"/>
    </row>
    <row r="51" spans="1:20" s="42" customFormat="1" ht="30" x14ac:dyDescent="0.25">
      <c r="A51" s="38" t="s">
        <v>24</v>
      </c>
      <c r="B51" s="39" t="s">
        <v>26</v>
      </c>
      <c r="C51" s="40"/>
      <c r="D51" s="3" t="s">
        <v>123</v>
      </c>
      <c r="E51" s="41" t="s">
        <v>25</v>
      </c>
      <c r="F51" s="37" t="s">
        <v>6</v>
      </c>
      <c r="G51" s="29" t="s">
        <v>2</v>
      </c>
      <c r="H51" s="4" t="s">
        <v>17</v>
      </c>
      <c r="I51" s="4" t="s">
        <v>17</v>
      </c>
      <c r="J51" s="181">
        <v>39900</v>
      </c>
      <c r="K51" s="44"/>
      <c r="L51" s="5"/>
      <c r="M51" s="7">
        <v>0</v>
      </c>
      <c r="N51" s="55">
        <v>2912</v>
      </c>
      <c r="O51" s="55"/>
      <c r="P51" s="55"/>
      <c r="Q51" s="55"/>
      <c r="R51" s="55">
        <f t="shared" si="0"/>
        <v>36988</v>
      </c>
      <c r="S51" s="61">
        <v>43467</v>
      </c>
      <c r="T51" s="56"/>
    </row>
    <row r="52" spans="1:20" s="42" customFormat="1" ht="30" x14ac:dyDescent="0.25">
      <c r="A52" s="38" t="s">
        <v>408</v>
      </c>
      <c r="B52" s="39" t="s">
        <v>409</v>
      </c>
      <c r="C52" s="40"/>
      <c r="D52" s="3" t="s">
        <v>123</v>
      </c>
      <c r="E52" s="41" t="s">
        <v>410</v>
      </c>
      <c r="F52" s="37" t="s">
        <v>4</v>
      </c>
      <c r="G52" s="29" t="s">
        <v>44</v>
      </c>
      <c r="H52" s="4" t="s">
        <v>411</v>
      </c>
      <c r="I52" s="4" t="s">
        <v>411</v>
      </c>
      <c r="J52" s="181">
        <v>39900</v>
      </c>
      <c r="K52" s="44"/>
      <c r="L52" s="5"/>
      <c r="M52" s="7">
        <v>0</v>
      </c>
      <c r="N52" s="55">
        <f>377+1220+1315+816+1924.8+1905+76+95+1905+1905+(110)</f>
        <v>11648.8</v>
      </c>
      <c r="O52" s="55">
        <f>1905+290</f>
        <v>2195</v>
      </c>
      <c r="P52" s="55"/>
      <c r="Q52" s="55"/>
      <c r="R52" s="55">
        <f t="shared" si="0"/>
        <v>26056.2</v>
      </c>
      <c r="S52" s="60">
        <v>43494</v>
      </c>
      <c r="T52" s="59"/>
    </row>
    <row r="53" spans="1:20" s="42" customFormat="1" ht="30" x14ac:dyDescent="0.25">
      <c r="A53" s="38" t="s">
        <v>28</v>
      </c>
      <c r="B53" s="39" t="s">
        <v>27</v>
      </c>
      <c r="C53" s="40" t="s">
        <v>222</v>
      </c>
      <c r="D53" s="3" t="s">
        <v>123</v>
      </c>
      <c r="E53" s="41" t="s">
        <v>29</v>
      </c>
      <c r="F53" s="37" t="s">
        <v>5</v>
      </c>
      <c r="G53" s="29" t="s">
        <v>2</v>
      </c>
      <c r="H53" s="4" t="s">
        <v>544</v>
      </c>
      <c r="I53" s="4" t="s">
        <v>544</v>
      </c>
      <c r="J53" s="181">
        <v>39900</v>
      </c>
      <c r="K53" s="44"/>
      <c r="L53" s="5"/>
      <c r="M53" s="7">
        <v>0</v>
      </c>
      <c r="N53" s="55">
        <v>0</v>
      </c>
      <c r="O53" s="55">
        <f>20765.66+2372.95</f>
        <v>23138.61</v>
      </c>
      <c r="P53" s="55"/>
      <c r="Q53" s="55"/>
      <c r="R53" s="55">
        <f t="shared" si="0"/>
        <v>16761.39</v>
      </c>
      <c r="S53" s="61">
        <v>43494</v>
      </c>
      <c r="T53" s="56"/>
    </row>
    <row r="54" spans="1:20" s="42" customFormat="1" ht="45" x14ac:dyDescent="0.25">
      <c r="A54" s="38" t="s">
        <v>31</v>
      </c>
      <c r="B54" s="39" t="s">
        <v>34</v>
      </c>
      <c r="C54" s="40" t="s">
        <v>20</v>
      </c>
      <c r="D54" s="3" t="s">
        <v>123</v>
      </c>
      <c r="E54" s="41" t="s">
        <v>37</v>
      </c>
      <c r="F54" s="37" t="s">
        <v>5</v>
      </c>
      <c r="G54" s="29" t="s">
        <v>2</v>
      </c>
      <c r="H54" s="4" t="s">
        <v>180</v>
      </c>
      <c r="I54" s="4" t="s">
        <v>181</v>
      </c>
      <c r="J54" s="181">
        <v>39900</v>
      </c>
      <c r="K54" s="44"/>
      <c r="L54" s="5"/>
      <c r="M54" s="7">
        <v>0</v>
      </c>
      <c r="N54" s="55">
        <f>2658.1+329.88+306+3819+677.5+10900</f>
        <v>18690.48</v>
      </c>
      <c r="O54" s="55"/>
      <c r="P54" s="55"/>
      <c r="Q54" s="55"/>
      <c r="R54" s="55">
        <f t="shared" si="0"/>
        <v>21209.52</v>
      </c>
      <c r="S54" s="61">
        <v>43497</v>
      </c>
      <c r="T54" s="56"/>
    </row>
    <row r="55" spans="1:20" s="42" customFormat="1" ht="45" x14ac:dyDescent="0.25">
      <c r="A55" s="38" t="s">
        <v>32</v>
      </c>
      <c r="B55" s="39" t="s">
        <v>33</v>
      </c>
      <c r="C55" s="40" t="s">
        <v>35</v>
      </c>
      <c r="D55" s="3" t="s">
        <v>123</v>
      </c>
      <c r="E55" s="41" t="s">
        <v>30</v>
      </c>
      <c r="F55" s="37" t="s">
        <v>5</v>
      </c>
      <c r="G55" s="29" t="s">
        <v>2</v>
      </c>
      <c r="H55" s="4" t="s">
        <v>412</v>
      </c>
      <c r="I55" s="4" t="s">
        <v>412</v>
      </c>
      <c r="J55" s="181">
        <v>39900</v>
      </c>
      <c r="K55" s="44"/>
      <c r="L55" s="5"/>
      <c r="M55" s="7">
        <v>0</v>
      </c>
      <c r="N55" s="55">
        <f>4525.35+1127.9+2769.2+1580</f>
        <v>10002.450000000001</v>
      </c>
      <c r="O55" s="55">
        <f>665.25+988+10080+540+21735+2415+250</f>
        <v>36673.25</v>
      </c>
      <c r="P55" s="55">
        <f>410</f>
        <v>410</v>
      </c>
      <c r="Q55" s="55"/>
      <c r="R55" s="55">
        <f t="shared" si="0"/>
        <v>-7185.6999999999971</v>
      </c>
      <c r="S55" s="61">
        <v>43497</v>
      </c>
      <c r="T55" s="56"/>
    </row>
    <row r="56" spans="1:20" s="42" customFormat="1" ht="60" x14ac:dyDescent="0.25">
      <c r="A56" s="3" t="s">
        <v>21</v>
      </c>
      <c r="B56" s="39">
        <v>7679565185</v>
      </c>
      <c r="C56" s="40" t="s">
        <v>20</v>
      </c>
      <c r="D56" s="3" t="s">
        <v>123</v>
      </c>
      <c r="E56" s="41" t="s">
        <v>19</v>
      </c>
      <c r="F56" s="44" t="s">
        <v>5</v>
      </c>
      <c r="G56" s="38" t="s">
        <v>2</v>
      </c>
      <c r="H56" s="4" t="s">
        <v>22</v>
      </c>
      <c r="I56" s="4" t="s">
        <v>22</v>
      </c>
      <c r="J56" s="180">
        <v>260000</v>
      </c>
      <c r="K56" s="44"/>
      <c r="L56" s="5"/>
      <c r="M56" s="7">
        <v>0</v>
      </c>
      <c r="N56" s="55">
        <f>73004.33+114569.29</f>
        <v>187573.62</v>
      </c>
      <c r="O56" s="55">
        <f>21426.38</f>
        <v>21426.38</v>
      </c>
      <c r="P56" s="55"/>
      <c r="Q56" s="55"/>
      <c r="R56" s="55">
        <f t="shared" si="0"/>
        <v>51000</v>
      </c>
      <c r="S56" s="61">
        <v>43409</v>
      </c>
      <c r="T56" s="56"/>
    </row>
    <row r="57" spans="1:20" s="42" customFormat="1" ht="45" x14ac:dyDescent="0.25">
      <c r="A57" s="3" t="s">
        <v>36</v>
      </c>
      <c r="B57" s="39">
        <v>7781596828</v>
      </c>
      <c r="C57" s="40" t="s">
        <v>35</v>
      </c>
      <c r="D57" s="3" t="s">
        <v>123</v>
      </c>
      <c r="E57" s="41" t="s">
        <v>23</v>
      </c>
      <c r="F57" s="44" t="s">
        <v>5</v>
      </c>
      <c r="G57" s="38" t="s">
        <v>2</v>
      </c>
      <c r="H57" s="4" t="s">
        <v>160</v>
      </c>
      <c r="I57" s="4" t="s">
        <v>160</v>
      </c>
      <c r="J57" s="180">
        <v>268000</v>
      </c>
      <c r="K57" s="44"/>
      <c r="L57" s="5"/>
      <c r="M57" s="7">
        <v>0</v>
      </c>
      <c r="N57" s="55">
        <f>30118.27+40481.38+59210.22</f>
        <v>129809.87</v>
      </c>
      <c r="O57" s="55">
        <f>5202.62+10350+62454.55</f>
        <v>78007.17</v>
      </c>
      <c r="P57" s="55"/>
      <c r="Q57" s="55"/>
      <c r="R57" s="55">
        <f t="shared" si="0"/>
        <v>60182.960000000021</v>
      </c>
      <c r="S57" s="61">
        <v>43495</v>
      </c>
      <c r="T57" s="56"/>
    </row>
    <row r="58" spans="1:20" s="42" customFormat="1" ht="30" x14ac:dyDescent="0.25">
      <c r="A58" s="38" t="s">
        <v>413</v>
      </c>
      <c r="B58" s="39" t="s">
        <v>414</v>
      </c>
      <c r="C58" s="40"/>
      <c r="D58" s="3" t="s">
        <v>123</v>
      </c>
      <c r="E58" s="41" t="s">
        <v>415</v>
      </c>
      <c r="F58" s="37" t="s">
        <v>4</v>
      </c>
      <c r="G58" s="29" t="s">
        <v>44</v>
      </c>
      <c r="H58" s="4" t="s">
        <v>416</v>
      </c>
      <c r="I58" s="4" t="s">
        <v>416</v>
      </c>
      <c r="J58" s="181">
        <v>39900</v>
      </c>
      <c r="K58" s="44"/>
      <c r="L58" s="5"/>
      <c r="M58" s="7">
        <v>0</v>
      </c>
      <c r="N58" s="55">
        <f>13.18+21.22+108.6+162.42+52.57+59.4+61.39+187.08+264.19+146.61+88.66</f>
        <v>1165.32</v>
      </c>
      <c r="O58" s="55">
        <f>115.51</f>
        <v>115.51</v>
      </c>
      <c r="P58" s="55"/>
      <c r="Q58" s="55"/>
      <c r="R58" s="55">
        <f t="shared" si="0"/>
        <v>38619.17</v>
      </c>
      <c r="S58" s="61">
        <v>43511</v>
      </c>
      <c r="T58" s="56"/>
    </row>
    <row r="59" spans="1:20" s="42" customFormat="1" ht="50.1" customHeight="1" x14ac:dyDescent="0.25">
      <c r="A59" s="38" t="s">
        <v>38</v>
      </c>
      <c r="B59" s="39" t="s">
        <v>39</v>
      </c>
      <c r="C59" s="40"/>
      <c r="D59" s="3" t="s">
        <v>123</v>
      </c>
      <c r="E59" s="41" t="s">
        <v>40</v>
      </c>
      <c r="F59" s="37" t="s">
        <v>4</v>
      </c>
      <c r="G59" s="29" t="s">
        <v>44</v>
      </c>
      <c r="H59" s="4" t="s">
        <v>192</v>
      </c>
      <c r="I59" s="4" t="s">
        <v>192</v>
      </c>
      <c r="J59" s="181">
        <v>39900</v>
      </c>
      <c r="K59" s="44"/>
      <c r="L59" s="5"/>
      <c r="M59" s="7">
        <v>0</v>
      </c>
      <c r="N59" s="55">
        <f>2190+746.53+459.65+1488.71+77.36+176.04+161.52+20.03+21.27+479.38+1779+104.81+498.14+37.24+345+144.65+413.02+5.6+1317.48+906.51+559.91+272.75+12.4+802.1+2190+51.7+1903+942.31</f>
        <v>18106.110000000004</v>
      </c>
      <c r="O59" s="55">
        <f>18+73.3+164.65+77+554.77+236.85+149.87+115.89+93.1</f>
        <v>1483.43</v>
      </c>
      <c r="P59" s="55"/>
      <c r="Q59" s="55"/>
      <c r="R59" s="55">
        <f t="shared" si="0"/>
        <v>20310.459999999995</v>
      </c>
      <c r="S59" s="61">
        <v>43514</v>
      </c>
      <c r="T59" s="56"/>
    </row>
    <row r="60" spans="1:20" s="42" customFormat="1" ht="30" x14ac:dyDescent="0.25">
      <c r="A60" s="38" t="s">
        <v>41</v>
      </c>
      <c r="B60" s="39" t="s">
        <v>42</v>
      </c>
      <c r="C60" s="40"/>
      <c r="D60" s="3" t="s">
        <v>123</v>
      </c>
      <c r="E60" s="41" t="s">
        <v>225</v>
      </c>
      <c r="F60" s="37" t="s">
        <v>5</v>
      </c>
      <c r="G60" s="29" t="s">
        <v>44</v>
      </c>
      <c r="H60" s="4" t="s">
        <v>842</v>
      </c>
      <c r="I60" s="4" t="s">
        <v>842</v>
      </c>
      <c r="J60" s="181">
        <v>39900</v>
      </c>
      <c r="K60" s="44"/>
      <c r="L60" s="5"/>
      <c r="M60" s="7">
        <v>0</v>
      </c>
      <c r="N60" s="55">
        <f>3633.11+3623.6+497.5+1620+3578.64</f>
        <v>12952.849999999999</v>
      </c>
      <c r="O60" s="55">
        <f>540</f>
        <v>540</v>
      </c>
      <c r="P60" s="55"/>
      <c r="Q60" s="55"/>
      <c r="R60" s="55">
        <f t="shared" si="0"/>
        <v>26407.15</v>
      </c>
      <c r="S60" s="61">
        <v>43516</v>
      </c>
      <c r="T60" s="56"/>
    </row>
    <row r="61" spans="1:20" s="42" customFormat="1" ht="135" x14ac:dyDescent="0.25">
      <c r="A61" s="38" t="s">
        <v>417</v>
      </c>
      <c r="B61" s="39" t="s">
        <v>418</v>
      </c>
      <c r="C61" s="40"/>
      <c r="D61" s="3" t="s">
        <v>123</v>
      </c>
      <c r="E61" s="3" t="s">
        <v>419</v>
      </c>
      <c r="F61" s="37" t="s">
        <v>4</v>
      </c>
      <c r="G61" s="29" t="s">
        <v>44</v>
      </c>
      <c r="H61" s="1" t="s">
        <v>420</v>
      </c>
      <c r="I61" s="1" t="s">
        <v>420</v>
      </c>
      <c r="J61" s="181">
        <v>39900</v>
      </c>
      <c r="K61" s="44"/>
      <c r="L61" s="5"/>
      <c r="M61" s="7">
        <v>0</v>
      </c>
      <c r="N61" s="55">
        <f>172.74+1600+317.8+197.52+305.71+324.46+2304.44+178.83+211.5+456.33+118.6+506.44+737.19+4933.49+275+516.8+5051.88+1406.16+3350.72+1263.9+275+15306+362.06+454.86+769.4+1226.12+257.02</f>
        <v>42879.97</v>
      </c>
      <c r="O61" s="55">
        <f>299.83+125.79+235.07</f>
        <v>660.69</v>
      </c>
      <c r="P61" s="55">
        <f>71.92+65.57+176.24+41.16+130.49</f>
        <v>485.38</v>
      </c>
      <c r="Q61" s="55"/>
      <c r="R61" s="55">
        <f t="shared" si="0"/>
        <v>-4126.0400000000009</v>
      </c>
      <c r="S61" s="61">
        <v>43521</v>
      </c>
      <c r="T61" s="59"/>
    </row>
    <row r="62" spans="1:20" s="42" customFormat="1" ht="30" x14ac:dyDescent="0.25">
      <c r="A62" s="38" t="s">
        <v>43</v>
      </c>
      <c r="B62" s="45" t="s">
        <v>100</v>
      </c>
      <c r="C62" s="40" t="s">
        <v>223</v>
      </c>
      <c r="D62" s="3" t="s">
        <v>123</v>
      </c>
      <c r="E62" s="3" t="s">
        <v>101</v>
      </c>
      <c r="F62" s="37" t="s">
        <v>5</v>
      </c>
      <c r="G62" s="29" t="s">
        <v>2</v>
      </c>
      <c r="H62" s="4" t="s">
        <v>22</v>
      </c>
      <c r="I62" s="4" t="s">
        <v>22</v>
      </c>
      <c r="J62" s="180">
        <v>94100</v>
      </c>
      <c r="K62" s="44"/>
      <c r="L62" s="5"/>
      <c r="M62" s="7">
        <v>0</v>
      </c>
      <c r="N62" s="55">
        <v>0</v>
      </c>
      <c r="O62" s="55">
        <f>40962.72</f>
        <v>40962.720000000001</v>
      </c>
      <c r="P62" s="55">
        <f>27094.54</f>
        <v>27094.54</v>
      </c>
      <c r="Q62" s="55"/>
      <c r="R62" s="55">
        <f t="shared" si="0"/>
        <v>26042.739999999991</v>
      </c>
      <c r="S62" s="61"/>
      <c r="T62" s="56"/>
    </row>
    <row r="63" spans="1:20" ht="45" x14ac:dyDescent="0.25">
      <c r="A63" s="1" t="s">
        <v>421</v>
      </c>
      <c r="B63" s="28" t="s">
        <v>422</v>
      </c>
      <c r="C63" s="2"/>
      <c r="D63" s="3" t="s">
        <v>123</v>
      </c>
      <c r="E63" s="3" t="s">
        <v>423</v>
      </c>
      <c r="F63" s="37"/>
      <c r="G63" s="29" t="s">
        <v>44</v>
      </c>
      <c r="H63" s="4" t="s">
        <v>170</v>
      </c>
      <c r="I63" s="4" t="s">
        <v>170</v>
      </c>
      <c r="J63" s="180">
        <v>39900</v>
      </c>
      <c r="K63" s="5"/>
      <c r="L63" s="5"/>
      <c r="M63" s="7">
        <v>0</v>
      </c>
      <c r="N63" s="55">
        <f>6275</f>
        <v>6275</v>
      </c>
      <c r="O63" s="55"/>
      <c r="P63" s="55"/>
      <c r="Q63" s="55"/>
      <c r="R63" s="55">
        <f t="shared" si="0"/>
        <v>33625</v>
      </c>
      <c r="S63" s="61">
        <v>43523</v>
      </c>
      <c r="T63" s="56"/>
    </row>
    <row r="64" spans="1:20" s="42" customFormat="1" ht="60" x14ac:dyDescent="0.25">
      <c r="A64" s="38" t="s">
        <v>113</v>
      </c>
      <c r="B64" s="39" t="s">
        <v>102</v>
      </c>
      <c r="C64" s="40"/>
      <c r="D64" s="3" t="s">
        <v>123</v>
      </c>
      <c r="E64" s="41" t="s">
        <v>103</v>
      </c>
      <c r="F64" s="37"/>
      <c r="G64" s="29" t="s">
        <v>44</v>
      </c>
      <c r="H64" s="4" t="s">
        <v>834</v>
      </c>
      <c r="I64" s="4" t="s">
        <v>834</v>
      </c>
      <c r="J64" s="181">
        <v>39900</v>
      </c>
      <c r="K64" s="44"/>
      <c r="L64" s="5"/>
      <c r="M64" s="7">
        <v>0</v>
      </c>
      <c r="N64" s="55">
        <v>0</v>
      </c>
      <c r="O64" s="55"/>
      <c r="P64" s="55">
        <f>11676.6</f>
        <v>11676.6</v>
      </c>
      <c r="Q64" s="55"/>
      <c r="R64" s="55">
        <f t="shared" si="0"/>
        <v>28223.4</v>
      </c>
      <c r="S64" s="61">
        <v>43523</v>
      </c>
      <c r="T64" s="56"/>
    </row>
    <row r="65" spans="1:20" s="42" customFormat="1" ht="50.1" customHeight="1" x14ac:dyDescent="0.25">
      <c r="A65" s="38" t="s">
        <v>424</v>
      </c>
      <c r="B65" s="39" t="s">
        <v>425</v>
      </c>
      <c r="C65" s="40"/>
      <c r="D65" s="3" t="s">
        <v>123</v>
      </c>
      <c r="E65" s="41" t="s">
        <v>426</v>
      </c>
      <c r="F65" s="37"/>
      <c r="G65" s="29" t="s">
        <v>44</v>
      </c>
      <c r="H65" s="4" t="s">
        <v>187</v>
      </c>
      <c r="I65" s="4" t="s">
        <v>188</v>
      </c>
      <c r="J65" s="181">
        <v>39900</v>
      </c>
      <c r="K65" s="44"/>
      <c r="L65" s="5"/>
      <c r="M65" s="7">
        <v>0</v>
      </c>
      <c r="N65" s="55">
        <f>327+34+54+54+34+34+34+54+34+950+280+35+291.96+30+10+398+398+398+34+162+34+398+698+291.96</f>
        <v>5067.92</v>
      </c>
      <c r="O65" s="55">
        <f>34+34</f>
        <v>68</v>
      </c>
      <c r="P65" s="55">
        <f>30+397.24+27.9+30+308+34</f>
        <v>827.14</v>
      </c>
      <c r="Q65" s="55"/>
      <c r="R65" s="55">
        <f t="shared" si="0"/>
        <v>33936.94</v>
      </c>
      <c r="S65" s="61">
        <v>43523</v>
      </c>
      <c r="T65" s="56"/>
    </row>
    <row r="66" spans="1:20" s="42" customFormat="1" ht="30" x14ac:dyDescent="0.25">
      <c r="A66" s="38" t="s">
        <v>114</v>
      </c>
      <c r="B66" s="39" t="s">
        <v>104</v>
      </c>
      <c r="C66" s="40"/>
      <c r="D66" s="3" t="s">
        <v>123</v>
      </c>
      <c r="E66" s="41" t="s">
        <v>218</v>
      </c>
      <c r="F66" s="37"/>
      <c r="G66" s="29" t="s">
        <v>2</v>
      </c>
      <c r="H66" s="4" t="s">
        <v>119</v>
      </c>
      <c r="I66" s="4" t="s">
        <v>119</v>
      </c>
      <c r="J66" s="181">
        <v>39000</v>
      </c>
      <c r="K66" s="44"/>
      <c r="L66" s="5"/>
      <c r="M66" s="7">
        <v>0</v>
      </c>
      <c r="N66" s="55">
        <f>300</f>
        <v>300</v>
      </c>
      <c r="O66" s="55">
        <f>3540</f>
        <v>3540</v>
      </c>
      <c r="P66" s="55"/>
      <c r="Q66" s="55"/>
      <c r="R66" s="55">
        <f t="shared" si="0"/>
        <v>35160</v>
      </c>
      <c r="S66" s="61">
        <v>43523</v>
      </c>
      <c r="T66" s="56"/>
    </row>
    <row r="67" spans="1:20" s="42" customFormat="1" ht="30" x14ac:dyDescent="0.25">
      <c r="A67" s="38" t="s">
        <v>427</v>
      </c>
      <c r="B67" s="39" t="s">
        <v>428</v>
      </c>
      <c r="C67" s="40"/>
      <c r="D67" s="3" t="s">
        <v>123</v>
      </c>
      <c r="E67" s="41" t="s">
        <v>429</v>
      </c>
      <c r="F67" s="37"/>
      <c r="G67" s="29" t="s">
        <v>430</v>
      </c>
      <c r="H67" s="4" t="s">
        <v>431</v>
      </c>
      <c r="I67" s="4" t="s">
        <v>431</v>
      </c>
      <c r="J67" s="181">
        <v>39900</v>
      </c>
      <c r="K67" s="44"/>
      <c r="L67" s="5"/>
      <c r="M67" s="7">
        <v>0</v>
      </c>
      <c r="N67" s="55">
        <f>10279.8+720+10579.6</f>
        <v>21579.4</v>
      </c>
      <c r="O67" s="55">
        <f>1440</f>
        <v>1440</v>
      </c>
      <c r="P67" s="55"/>
      <c r="Q67" s="55"/>
      <c r="R67" s="55">
        <f t="shared" si="0"/>
        <v>16880.599999999999</v>
      </c>
      <c r="S67" s="61">
        <v>43523</v>
      </c>
      <c r="T67" s="56"/>
    </row>
    <row r="68" spans="1:20" ht="75" x14ac:dyDescent="0.25">
      <c r="A68" s="1" t="s">
        <v>432</v>
      </c>
      <c r="B68" s="28" t="s">
        <v>433</v>
      </c>
      <c r="C68" s="2"/>
      <c r="D68" s="3" t="s">
        <v>123</v>
      </c>
      <c r="E68" s="3" t="s">
        <v>434</v>
      </c>
      <c r="F68" s="37"/>
      <c r="G68" s="29" t="s">
        <v>44</v>
      </c>
      <c r="H68" s="4" t="s">
        <v>120</v>
      </c>
      <c r="I68" s="4" t="s">
        <v>120</v>
      </c>
      <c r="J68" s="180">
        <v>39900</v>
      </c>
      <c r="K68" s="5"/>
      <c r="L68" s="5"/>
      <c r="M68" s="7">
        <v>0</v>
      </c>
      <c r="N68" s="55">
        <f>3550+1110.92+2700+2100+45+1222.47+2490+935.83+2490+1453</f>
        <v>18097.22</v>
      </c>
      <c r="O68" s="55"/>
      <c r="P68" s="55"/>
      <c r="Q68" s="55"/>
      <c r="R68" s="55">
        <f t="shared" si="0"/>
        <v>21802.78</v>
      </c>
      <c r="S68" s="61">
        <v>43523</v>
      </c>
      <c r="T68" s="56"/>
    </row>
    <row r="69" spans="1:20" s="42" customFormat="1" ht="45" x14ac:dyDescent="0.25">
      <c r="A69" s="38" t="s">
        <v>435</v>
      </c>
      <c r="B69" s="39" t="s">
        <v>436</v>
      </c>
      <c r="C69" s="40"/>
      <c r="D69" s="3" t="s">
        <v>123</v>
      </c>
      <c r="E69" s="41" t="s">
        <v>437</v>
      </c>
      <c r="F69" s="37"/>
      <c r="G69" s="29" t="s">
        <v>44</v>
      </c>
      <c r="H69" s="4" t="s">
        <v>438</v>
      </c>
      <c r="I69" s="4" t="s">
        <v>438</v>
      </c>
      <c r="J69" s="181">
        <v>10000</v>
      </c>
      <c r="K69" s="44"/>
      <c r="L69" s="5"/>
      <c r="M69" s="7">
        <v>0</v>
      </c>
      <c r="N69" s="55">
        <f>385.38+128.78+45.32+132.64+259.9+121.9+26.93+7.93+348.27</f>
        <v>1457.0500000000002</v>
      </c>
      <c r="O69" s="55">
        <f>116</f>
        <v>116</v>
      </c>
      <c r="P69" s="55"/>
      <c r="Q69" s="55"/>
      <c r="R69" s="55">
        <f t="shared" ref="R69:R132" si="1">J69-(M69+N69+O69+P69+Q69)</f>
        <v>8426.9500000000007</v>
      </c>
      <c r="S69" s="61">
        <v>43523</v>
      </c>
      <c r="T69" s="56"/>
    </row>
    <row r="70" spans="1:20" s="42" customFormat="1" ht="30" x14ac:dyDescent="0.25">
      <c r="A70" s="38" t="s">
        <v>439</v>
      </c>
      <c r="B70" s="39" t="s">
        <v>440</v>
      </c>
      <c r="C70" s="40"/>
      <c r="D70" s="3" t="s">
        <v>123</v>
      </c>
      <c r="E70" s="41" t="s">
        <v>441</v>
      </c>
      <c r="F70" s="37"/>
      <c r="G70" s="29" t="s">
        <v>44</v>
      </c>
      <c r="H70" s="4" t="s">
        <v>171</v>
      </c>
      <c r="I70" s="4" t="s">
        <v>171</v>
      </c>
      <c r="J70" s="181">
        <v>39900</v>
      </c>
      <c r="K70" s="44"/>
      <c r="L70" s="5"/>
      <c r="M70" s="7">
        <v>0</v>
      </c>
      <c r="N70" s="55">
        <f>1112+246+246+4140+246</f>
        <v>5990</v>
      </c>
      <c r="O70" s="55"/>
      <c r="P70" s="55"/>
      <c r="Q70" s="55"/>
      <c r="R70" s="55">
        <f t="shared" si="1"/>
        <v>33910</v>
      </c>
      <c r="S70" s="61">
        <v>43523</v>
      </c>
      <c r="T70" s="56"/>
    </row>
    <row r="71" spans="1:20" s="42" customFormat="1" ht="30" x14ac:dyDescent="0.25">
      <c r="A71" s="38" t="s">
        <v>115</v>
      </c>
      <c r="B71" s="39" t="s">
        <v>105</v>
      </c>
      <c r="C71" s="40"/>
      <c r="D71" s="3" t="s">
        <v>123</v>
      </c>
      <c r="E71" s="41" t="s">
        <v>106</v>
      </c>
      <c r="F71" s="37"/>
      <c r="G71" s="29" t="s">
        <v>44</v>
      </c>
      <c r="H71" s="4" t="s">
        <v>121</v>
      </c>
      <c r="I71" s="4" t="s">
        <v>121</v>
      </c>
      <c r="J71" s="181">
        <v>39900</v>
      </c>
      <c r="K71" s="44"/>
      <c r="L71" s="5"/>
      <c r="M71" s="7">
        <v>0</v>
      </c>
      <c r="N71" s="55">
        <f>1644.54+49.6+12.8+4293.73+99.39+5.52+17.95+120+200+81.18+1022.27+7526.39+24.39+4764.78+147.15+7540.26+4.46+180.88+16.23+1269.2+539.53+464.94</f>
        <v>30025.189999999995</v>
      </c>
      <c r="O71" s="55">
        <f>24.2+4.3+96.61+2461.5+200+120+118.6+2109.51+15.7+1269.49+1624.22+12.97+4.42+5773.05+14.11+1010.91+120+89.85+4.42+15.98+4720.82+51.17+719.08+21.68+151.15+611.84+9.24+115.18+45.05+976.24+3159.26</f>
        <v>25670.550000000003</v>
      </c>
      <c r="P71" s="55"/>
      <c r="Q71" s="55"/>
      <c r="R71" s="55">
        <f t="shared" si="1"/>
        <v>-15795.739999999998</v>
      </c>
      <c r="S71" s="61">
        <v>43523</v>
      </c>
      <c r="T71" s="56"/>
    </row>
    <row r="72" spans="1:20" s="42" customFormat="1" ht="30" x14ac:dyDescent="0.25">
      <c r="A72" s="38" t="s">
        <v>442</v>
      </c>
      <c r="B72" s="39" t="s">
        <v>443</v>
      </c>
      <c r="C72" s="40"/>
      <c r="D72" s="3" t="s">
        <v>123</v>
      </c>
      <c r="E72" s="41" t="s">
        <v>444</v>
      </c>
      <c r="F72" s="37"/>
      <c r="G72" s="29" t="s">
        <v>44</v>
      </c>
      <c r="H72" s="4" t="s">
        <v>445</v>
      </c>
      <c r="I72" s="4" t="s">
        <v>445</v>
      </c>
      <c r="J72" s="181">
        <v>39900</v>
      </c>
      <c r="K72" s="44"/>
      <c r="L72" s="5"/>
      <c r="M72" s="7">
        <v>0</v>
      </c>
      <c r="N72" s="55">
        <f>185+1750+648+113+150+730+3960+2480</f>
        <v>10016</v>
      </c>
      <c r="O72" s="55"/>
      <c r="P72" s="55"/>
      <c r="Q72" s="55"/>
      <c r="R72" s="55">
        <f t="shared" si="1"/>
        <v>29884</v>
      </c>
      <c r="S72" s="61">
        <v>43523</v>
      </c>
      <c r="T72" s="56"/>
    </row>
    <row r="73" spans="1:20" s="42" customFormat="1" ht="30" x14ac:dyDescent="0.25">
      <c r="A73" s="38" t="s">
        <v>116</v>
      </c>
      <c r="B73" s="39" t="s">
        <v>107</v>
      </c>
      <c r="C73" s="40"/>
      <c r="D73" s="41" t="s">
        <v>123</v>
      </c>
      <c r="E73" s="41" t="s">
        <v>108</v>
      </c>
      <c r="F73" s="37"/>
      <c r="G73" s="29" t="s">
        <v>44</v>
      </c>
      <c r="H73" s="35"/>
      <c r="I73" s="4"/>
      <c r="J73" s="181">
        <v>39900</v>
      </c>
      <c r="K73" s="44"/>
      <c r="L73" s="5"/>
      <c r="M73" s="7">
        <v>0</v>
      </c>
      <c r="N73" s="89">
        <v>0</v>
      </c>
      <c r="O73" s="89"/>
      <c r="P73" s="89"/>
      <c r="Q73" s="89"/>
      <c r="R73" s="55">
        <f t="shared" si="1"/>
        <v>39900</v>
      </c>
      <c r="S73" s="72">
        <v>43523</v>
      </c>
      <c r="T73" s="56"/>
    </row>
    <row r="74" spans="1:20" s="42" customFormat="1" ht="30" x14ac:dyDescent="0.25">
      <c r="A74" s="38" t="s">
        <v>117</v>
      </c>
      <c r="B74" s="39" t="s">
        <v>109</v>
      </c>
      <c r="C74" s="40"/>
      <c r="D74" s="41" t="s">
        <v>123</v>
      </c>
      <c r="E74" s="41" t="s">
        <v>110</v>
      </c>
      <c r="F74" s="37"/>
      <c r="G74" s="29" t="s">
        <v>44</v>
      </c>
      <c r="H74" s="35"/>
      <c r="I74" s="4"/>
      <c r="J74" s="181">
        <v>39900</v>
      </c>
      <c r="K74" s="44"/>
      <c r="L74" s="5"/>
      <c r="M74" s="7">
        <v>0</v>
      </c>
      <c r="N74" s="89">
        <v>0</v>
      </c>
      <c r="O74" s="89"/>
      <c r="P74" s="89"/>
      <c r="Q74" s="89"/>
      <c r="R74" s="55">
        <f t="shared" si="1"/>
        <v>39900</v>
      </c>
      <c r="S74" s="72">
        <v>43523</v>
      </c>
      <c r="T74" s="56"/>
    </row>
    <row r="75" spans="1:20" s="42" customFormat="1" ht="30" x14ac:dyDescent="0.25">
      <c r="A75" s="38" t="s">
        <v>118</v>
      </c>
      <c r="B75" s="39" t="s">
        <v>111</v>
      </c>
      <c r="C75" s="40"/>
      <c r="D75" s="41" t="s">
        <v>123</v>
      </c>
      <c r="E75" s="41" t="s">
        <v>112</v>
      </c>
      <c r="F75" s="37"/>
      <c r="G75" s="29" t="s">
        <v>44</v>
      </c>
      <c r="H75" s="35"/>
      <c r="I75" s="4"/>
      <c r="J75" s="181">
        <v>39900</v>
      </c>
      <c r="K75" s="44"/>
      <c r="L75" s="5"/>
      <c r="M75" s="7">
        <v>0</v>
      </c>
      <c r="N75" s="89">
        <v>0</v>
      </c>
      <c r="O75" s="89"/>
      <c r="P75" s="89"/>
      <c r="Q75" s="89"/>
      <c r="R75" s="55">
        <f t="shared" si="1"/>
        <v>39900</v>
      </c>
      <c r="S75" s="72">
        <v>43523</v>
      </c>
      <c r="T75" s="56"/>
    </row>
    <row r="76" spans="1:20" s="42" customFormat="1" ht="60" x14ac:dyDescent="0.25">
      <c r="A76" s="38" t="s">
        <v>446</v>
      </c>
      <c r="B76" s="39" t="s">
        <v>447</v>
      </c>
      <c r="C76" s="40"/>
      <c r="D76" s="3" t="s">
        <v>123</v>
      </c>
      <c r="E76" s="41" t="s">
        <v>556</v>
      </c>
      <c r="F76" s="37"/>
      <c r="G76" s="29" t="s">
        <v>44</v>
      </c>
      <c r="H76" s="4" t="s">
        <v>224</v>
      </c>
      <c r="I76" s="4" t="s">
        <v>224</v>
      </c>
      <c r="J76" s="178">
        <v>39000</v>
      </c>
      <c r="K76" s="1"/>
      <c r="L76" s="5"/>
      <c r="M76" s="7">
        <v>0</v>
      </c>
      <c r="N76" s="55">
        <f>6120</f>
        <v>6120</v>
      </c>
      <c r="O76" s="55"/>
      <c r="P76" s="55"/>
      <c r="Q76" s="55"/>
      <c r="R76" s="55">
        <f t="shared" si="1"/>
        <v>32880</v>
      </c>
      <c r="S76" s="61">
        <v>43523</v>
      </c>
      <c r="T76" s="56"/>
    </row>
    <row r="77" spans="1:20" s="42" customFormat="1" ht="30" x14ac:dyDescent="0.25">
      <c r="A77" s="38" t="s">
        <v>448</v>
      </c>
      <c r="B77" s="39" t="s">
        <v>449</v>
      </c>
      <c r="C77" s="40"/>
      <c r="D77" s="3" t="s">
        <v>123</v>
      </c>
      <c r="E77" s="41" t="s">
        <v>450</v>
      </c>
      <c r="F77" s="37"/>
      <c r="G77" s="29" t="s">
        <v>44</v>
      </c>
      <c r="H77" s="4" t="s">
        <v>122</v>
      </c>
      <c r="I77" s="4" t="s">
        <v>122</v>
      </c>
      <c r="J77" s="181">
        <v>39900</v>
      </c>
      <c r="K77" s="44"/>
      <c r="L77" s="5"/>
      <c r="M77" s="7">
        <v>0</v>
      </c>
      <c r="N77" s="55">
        <f>1853.34+2107.16+1894.5+1997.4+1853.34+2079.72+1633.82+1846.48+2079.72+1784.74</f>
        <v>19130.22</v>
      </c>
      <c r="O77" s="55">
        <f>1668.12+1908.22+1846.48</f>
        <v>5422.82</v>
      </c>
      <c r="P77" s="55"/>
      <c r="Q77" s="55"/>
      <c r="R77" s="55">
        <f t="shared" si="1"/>
        <v>15346.96</v>
      </c>
      <c r="S77" s="61">
        <v>43523</v>
      </c>
      <c r="T77" s="56"/>
    </row>
    <row r="78" spans="1:20" s="42" customFormat="1" ht="30" x14ac:dyDescent="0.25">
      <c r="A78" s="38" t="s">
        <v>451</v>
      </c>
      <c r="B78" s="39" t="s">
        <v>452</v>
      </c>
      <c r="C78" s="40"/>
      <c r="D78" s="3" t="s">
        <v>123</v>
      </c>
      <c r="E78" s="41" t="s">
        <v>453</v>
      </c>
      <c r="F78" s="37"/>
      <c r="G78" s="29" t="s">
        <v>44</v>
      </c>
      <c r="H78" s="4" t="s">
        <v>454</v>
      </c>
      <c r="I78" s="4" t="s">
        <v>454</v>
      </c>
      <c r="J78" s="181">
        <v>39900</v>
      </c>
      <c r="K78" s="44"/>
      <c r="L78" s="5"/>
      <c r="M78" s="7">
        <v>0</v>
      </c>
      <c r="N78" s="55">
        <v>0</v>
      </c>
      <c r="O78" s="55"/>
      <c r="P78" s="55"/>
      <c r="Q78" s="55"/>
      <c r="R78" s="55">
        <f t="shared" si="1"/>
        <v>39900</v>
      </c>
      <c r="S78" s="61">
        <v>43523</v>
      </c>
      <c r="T78" s="56"/>
    </row>
    <row r="79" spans="1:20" s="42" customFormat="1" ht="30" x14ac:dyDescent="0.25">
      <c r="A79" s="38" t="s">
        <v>455</v>
      </c>
      <c r="B79" s="39" t="s">
        <v>456</v>
      </c>
      <c r="C79" s="40"/>
      <c r="D79" s="3" t="s">
        <v>123</v>
      </c>
      <c r="E79" s="41" t="s">
        <v>457</v>
      </c>
      <c r="F79" s="37"/>
      <c r="G79" s="29" t="s">
        <v>44</v>
      </c>
      <c r="H79" s="4" t="s">
        <v>458</v>
      </c>
      <c r="I79" s="4" t="s">
        <v>458</v>
      </c>
      <c r="J79" s="181">
        <v>39900</v>
      </c>
      <c r="K79" s="44"/>
      <c r="L79" s="5"/>
      <c r="M79" s="7">
        <v>0</v>
      </c>
      <c r="N79" s="55">
        <v>0</v>
      </c>
      <c r="O79" s="55"/>
      <c r="P79" s="55"/>
      <c r="Q79" s="55"/>
      <c r="R79" s="55">
        <f t="shared" si="1"/>
        <v>39900</v>
      </c>
      <c r="S79" s="61">
        <v>43523</v>
      </c>
      <c r="T79" s="56"/>
    </row>
    <row r="80" spans="1:20" ht="30" x14ac:dyDescent="0.25">
      <c r="A80" s="1" t="s">
        <v>459</v>
      </c>
      <c r="B80" s="28" t="s">
        <v>460</v>
      </c>
      <c r="C80" s="2"/>
      <c r="D80" s="3" t="s">
        <v>123</v>
      </c>
      <c r="E80" s="3" t="s">
        <v>761</v>
      </c>
      <c r="F80" s="37"/>
      <c r="G80" s="29" t="s">
        <v>44</v>
      </c>
      <c r="H80" s="4" t="s">
        <v>461</v>
      </c>
      <c r="I80" s="4" t="s">
        <v>461</v>
      </c>
      <c r="J80" s="180">
        <v>39900</v>
      </c>
      <c r="K80" s="5"/>
      <c r="L80" s="5"/>
      <c r="M80" s="7">
        <v>0</v>
      </c>
      <c r="N80" s="55">
        <f>3500+2000+2000+2687.5+1067.5+437.5+187.5</f>
        <v>11880</v>
      </c>
      <c r="O80" s="55">
        <f>3084.38+1593.75+806.25+625+656.25+2656.25+531.25+225+156.25+875+3562.51+1062.52</f>
        <v>15834.410000000002</v>
      </c>
      <c r="P80" s="55"/>
      <c r="Q80" s="55"/>
      <c r="R80" s="55">
        <f t="shared" si="1"/>
        <v>12185.589999999997</v>
      </c>
      <c r="S80" s="60">
        <v>43523</v>
      </c>
      <c r="T80" s="59"/>
    </row>
    <row r="81" spans="1:21" ht="29.25" customHeight="1" x14ac:dyDescent="0.25">
      <c r="A81" s="1" t="s">
        <v>462</v>
      </c>
      <c r="B81" s="28" t="s">
        <v>463</v>
      </c>
      <c r="C81" s="2"/>
      <c r="D81" s="3" t="s">
        <v>123</v>
      </c>
      <c r="E81" s="3" t="s">
        <v>464</v>
      </c>
      <c r="F81" s="37"/>
      <c r="G81" s="29" t="s">
        <v>44</v>
      </c>
      <c r="H81" s="4" t="s">
        <v>562</v>
      </c>
      <c r="I81" s="4" t="s">
        <v>562</v>
      </c>
      <c r="J81" s="180">
        <v>39900</v>
      </c>
      <c r="K81" s="5"/>
      <c r="L81" s="5"/>
      <c r="M81" s="7">
        <v>0</v>
      </c>
      <c r="N81" s="55">
        <f>150</f>
        <v>150</v>
      </c>
      <c r="O81" s="55">
        <f>1840</f>
        <v>1840</v>
      </c>
      <c r="P81" s="55"/>
      <c r="Q81" s="55"/>
      <c r="R81" s="55">
        <f t="shared" si="1"/>
        <v>37910</v>
      </c>
      <c r="S81" s="60">
        <v>43523</v>
      </c>
      <c r="T81" s="59"/>
    </row>
    <row r="82" spans="1:21" s="42" customFormat="1" ht="30" x14ac:dyDescent="0.25">
      <c r="A82" s="38" t="s">
        <v>465</v>
      </c>
      <c r="B82" s="39" t="s">
        <v>466</v>
      </c>
      <c r="C82" s="40"/>
      <c r="D82" s="3" t="s">
        <v>123</v>
      </c>
      <c r="E82" s="41" t="s">
        <v>467</v>
      </c>
      <c r="F82" s="37"/>
      <c r="G82" s="29" t="s">
        <v>44</v>
      </c>
      <c r="H82" s="4" t="s">
        <v>468</v>
      </c>
      <c r="I82" s="4" t="s">
        <v>468</v>
      </c>
      <c r="J82" s="181">
        <v>39900</v>
      </c>
      <c r="K82" s="44"/>
      <c r="L82" s="5"/>
      <c r="M82" s="7">
        <v>0</v>
      </c>
      <c r="N82" s="55">
        <v>0</v>
      </c>
      <c r="O82" s="55"/>
      <c r="P82" s="55"/>
      <c r="Q82" s="55"/>
      <c r="R82" s="55">
        <f t="shared" si="1"/>
        <v>39900</v>
      </c>
      <c r="S82" s="61">
        <v>43523</v>
      </c>
      <c r="T82" s="56"/>
    </row>
    <row r="83" spans="1:21" s="42" customFormat="1" ht="30" x14ac:dyDescent="0.25">
      <c r="A83" s="38" t="s">
        <v>469</v>
      </c>
      <c r="B83" s="39" t="s">
        <v>470</v>
      </c>
      <c r="C83" s="40"/>
      <c r="D83" s="3" t="s">
        <v>123</v>
      </c>
      <c r="E83" s="41" t="s">
        <v>471</v>
      </c>
      <c r="F83" s="37"/>
      <c r="G83" s="29" t="s">
        <v>44</v>
      </c>
      <c r="H83" s="4" t="s">
        <v>472</v>
      </c>
      <c r="I83" s="4" t="s">
        <v>472</v>
      </c>
      <c r="J83" s="181">
        <v>39900</v>
      </c>
      <c r="K83" s="44"/>
      <c r="L83" s="5"/>
      <c r="M83" s="7">
        <v>0</v>
      </c>
      <c r="N83" s="55">
        <f>1350</f>
        <v>1350</v>
      </c>
      <c r="O83" s="55">
        <f>6630+1350</f>
        <v>7980</v>
      </c>
      <c r="P83" s="55"/>
      <c r="Q83" s="55"/>
      <c r="R83" s="55">
        <f t="shared" si="1"/>
        <v>30570</v>
      </c>
      <c r="S83" s="61">
        <v>43523</v>
      </c>
      <c r="T83" s="56"/>
    </row>
    <row r="84" spans="1:21" s="42" customFormat="1" ht="60" x14ac:dyDescent="0.25">
      <c r="A84" s="1" t="s">
        <v>149</v>
      </c>
      <c r="B84" s="47" t="s">
        <v>150</v>
      </c>
      <c r="C84" s="2" t="s">
        <v>35</v>
      </c>
      <c r="D84" s="3" t="s">
        <v>123</v>
      </c>
      <c r="E84" s="3" t="s">
        <v>151</v>
      </c>
      <c r="F84" s="5"/>
      <c r="G84" s="3" t="s">
        <v>2</v>
      </c>
      <c r="H84" s="4" t="s">
        <v>833</v>
      </c>
      <c r="I84" s="4" t="s">
        <v>833</v>
      </c>
      <c r="J84" s="180">
        <v>39900</v>
      </c>
      <c r="K84" s="5"/>
      <c r="L84" s="5"/>
      <c r="M84" s="7">
        <v>0</v>
      </c>
      <c r="N84" s="55">
        <f>18350+4431.9+3854.95</f>
        <v>26636.850000000002</v>
      </c>
      <c r="O84" s="55">
        <f>1732.5+2362.5+5503.08+621.6</f>
        <v>10219.68</v>
      </c>
      <c r="P84" s="55"/>
      <c r="Q84" s="55"/>
      <c r="R84" s="55">
        <f t="shared" si="1"/>
        <v>3043.4700000000012</v>
      </c>
      <c r="S84" s="60">
        <v>43528</v>
      </c>
      <c r="T84" s="56"/>
    </row>
    <row r="85" spans="1:21" s="42" customFormat="1" ht="60" x14ac:dyDescent="0.25">
      <c r="A85" s="1" t="s">
        <v>152</v>
      </c>
      <c r="B85" s="47" t="s">
        <v>153</v>
      </c>
      <c r="C85" s="2" t="s">
        <v>20</v>
      </c>
      <c r="D85" s="3" t="s">
        <v>123</v>
      </c>
      <c r="E85" s="3" t="s">
        <v>154</v>
      </c>
      <c r="F85" s="5"/>
      <c r="G85" s="3" t="s">
        <v>2</v>
      </c>
      <c r="H85" s="4" t="s">
        <v>45</v>
      </c>
      <c r="I85" s="4" t="s">
        <v>45</v>
      </c>
      <c r="J85" s="180">
        <v>39900</v>
      </c>
      <c r="K85" s="5"/>
      <c r="L85" s="5"/>
      <c r="M85" s="7">
        <v>0</v>
      </c>
      <c r="N85" s="55">
        <f>14808.56+3810.11+6220.34+1106.34</f>
        <v>25945.35</v>
      </c>
      <c r="O85" s="55"/>
      <c r="P85" s="55"/>
      <c r="Q85" s="55"/>
      <c r="R85" s="55">
        <f t="shared" si="1"/>
        <v>13954.650000000001</v>
      </c>
      <c r="S85" s="60">
        <v>43528</v>
      </c>
      <c r="T85" s="56"/>
    </row>
    <row r="86" spans="1:21" s="42" customFormat="1" ht="30" x14ac:dyDescent="0.25">
      <c r="A86" s="1" t="s">
        <v>155</v>
      </c>
      <c r="B86" s="47" t="s">
        <v>156</v>
      </c>
      <c r="C86" s="2"/>
      <c r="D86" s="3" t="s">
        <v>123</v>
      </c>
      <c r="E86" s="3" t="s">
        <v>157</v>
      </c>
      <c r="F86" s="5"/>
      <c r="G86" s="3" t="s">
        <v>2</v>
      </c>
      <c r="H86" s="4" t="s">
        <v>846</v>
      </c>
      <c r="I86" s="4" t="s">
        <v>846</v>
      </c>
      <c r="J86" s="180">
        <v>39900</v>
      </c>
      <c r="K86" s="5"/>
      <c r="L86" s="5"/>
      <c r="M86" s="7">
        <v>0</v>
      </c>
      <c r="N86" s="55">
        <f>19931.6+19931.6</f>
        <v>39863.199999999997</v>
      </c>
      <c r="O86" s="55"/>
      <c r="P86" s="55"/>
      <c r="Q86" s="55"/>
      <c r="R86" s="55">
        <f t="shared" si="1"/>
        <v>36.80000000000291</v>
      </c>
      <c r="S86" s="60">
        <v>43528</v>
      </c>
      <c r="T86" s="56"/>
    </row>
    <row r="87" spans="1:21" s="42" customFormat="1" ht="30" x14ac:dyDescent="0.25">
      <c r="A87" s="1" t="s">
        <v>208</v>
      </c>
      <c r="B87" s="39" t="s">
        <v>207</v>
      </c>
      <c r="C87" s="40"/>
      <c r="D87" s="3" t="s">
        <v>123</v>
      </c>
      <c r="E87" s="41" t="s">
        <v>238</v>
      </c>
      <c r="F87" s="5" t="s">
        <v>6</v>
      </c>
      <c r="G87" s="29" t="s">
        <v>189</v>
      </c>
      <c r="H87" s="1" t="s">
        <v>237</v>
      </c>
      <c r="I87" s="1" t="s">
        <v>237</v>
      </c>
      <c r="J87" s="180">
        <v>39900</v>
      </c>
      <c r="K87" s="44"/>
      <c r="L87" s="5"/>
      <c r="M87" s="100"/>
      <c r="N87" s="55">
        <f>2820</f>
        <v>2820</v>
      </c>
      <c r="O87" s="55">
        <f>2640+2850+9328.8+1440+1440+2895+2820</f>
        <v>23413.8</v>
      </c>
      <c r="P87" s="55"/>
      <c r="Q87" s="55"/>
      <c r="R87" s="55">
        <f t="shared" si="1"/>
        <v>13666.2</v>
      </c>
      <c r="S87" s="60"/>
      <c r="T87" s="56"/>
    </row>
    <row r="88" spans="1:21" s="52" customFormat="1" ht="60" customHeight="1" x14ac:dyDescent="0.25">
      <c r="A88" s="73" t="s">
        <v>473</v>
      </c>
      <c r="B88" s="74" t="s">
        <v>474</v>
      </c>
      <c r="C88" s="75"/>
      <c r="D88" s="76" t="s">
        <v>123</v>
      </c>
      <c r="E88" s="76" t="s">
        <v>475</v>
      </c>
      <c r="F88" s="77"/>
      <c r="G88" s="76" t="s">
        <v>2</v>
      </c>
      <c r="H88" s="76" t="s">
        <v>476</v>
      </c>
      <c r="I88" s="78" t="s">
        <v>477</v>
      </c>
      <c r="J88" s="183">
        <v>272500</v>
      </c>
      <c r="K88" s="77"/>
      <c r="L88" s="77"/>
      <c r="M88" s="79">
        <v>1</v>
      </c>
      <c r="N88" s="79">
        <v>0</v>
      </c>
      <c r="O88" s="79"/>
      <c r="P88" s="79"/>
      <c r="Q88" s="79"/>
      <c r="R88" s="55">
        <f t="shared" si="1"/>
        <v>272499</v>
      </c>
      <c r="S88" s="80">
        <v>43531</v>
      </c>
      <c r="T88" s="206"/>
    </row>
    <row r="89" spans="1:21" ht="60" x14ac:dyDescent="0.25">
      <c r="A89" s="1" t="s">
        <v>478</v>
      </c>
      <c r="B89" s="47" t="s">
        <v>479</v>
      </c>
      <c r="C89" s="2" t="s">
        <v>480</v>
      </c>
      <c r="D89" s="3" t="s">
        <v>123</v>
      </c>
      <c r="E89" s="3" t="s">
        <v>481</v>
      </c>
      <c r="F89" s="5"/>
      <c r="G89" s="3" t="s">
        <v>430</v>
      </c>
      <c r="H89" s="4" t="s">
        <v>829</v>
      </c>
      <c r="I89" s="4" t="s">
        <v>829</v>
      </c>
      <c r="J89" s="180">
        <v>39900</v>
      </c>
      <c r="K89" s="5"/>
      <c r="L89" s="5"/>
      <c r="M89" s="7">
        <v>3</v>
      </c>
      <c r="N89" s="55">
        <v>0</v>
      </c>
      <c r="O89" s="55"/>
      <c r="P89" s="55"/>
      <c r="Q89" s="55"/>
      <c r="R89" s="55">
        <f t="shared" si="1"/>
        <v>39897</v>
      </c>
      <c r="S89" s="60"/>
      <c r="T89" s="56"/>
    </row>
    <row r="90" spans="1:21" s="42" customFormat="1" ht="30" x14ac:dyDescent="0.25">
      <c r="A90" s="1" t="s">
        <v>482</v>
      </c>
      <c r="B90" s="39" t="s">
        <v>483</v>
      </c>
      <c r="C90" s="40"/>
      <c r="D90" s="3" t="s">
        <v>123</v>
      </c>
      <c r="E90" s="41" t="s">
        <v>484</v>
      </c>
      <c r="F90" s="5"/>
      <c r="G90" s="3" t="s">
        <v>44</v>
      </c>
      <c r="H90" s="4" t="s">
        <v>182</v>
      </c>
      <c r="I90" s="4" t="s">
        <v>182</v>
      </c>
      <c r="J90" s="180">
        <v>39900</v>
      </c>
      <c r="K90" s="44"/>
      <c r="L90" s="5"/>
      <c r="M90" s="100">
        <v>0</v>
      </c>
      <c r="N90" s="70">
        <f>257+354.4+433.7+5496.75</f>
        <v>6541.85</v>
      </c>
      <c r="O90" s="70">
        <f>3835.89+254.91+5496.75</f>
        <v>9587.5499999999993</v>
      </c>
      <c r="P90" s="70"/>
      <c r="Q90" s="70"/>
      <c r="R90" s="55">
        <f t="shared" si="1"/>
        <v>23770.6</v>
      </c>
      <c r="S90" s="61">
        <v>43543</v>
      </c>
      <c r="T90" s="56"/>
    </row>
    <row r="91" spans="1:21" s="42" customFormat="1" ht="30" x14ac:dyDescent="0.25">
      <c r="A91" s="1" t="s">
        <v>485</v>
      </c>
      <c r="B91" s="39" t="s">
        <v>486</v>
      </c>
      <c r="C91" s="40"/>
      <c r="D91" s="3" t="s">
        <v>123</v>
      </c>
      <c r="E91" s="41" t="s">
        <v>487</v>
      </c>
      <c r="F91" s="5"/>
      <c r="G91" s="3" t="s">
        <v>44</v>
      </c>
      <c r="H91" s="4" t="s">
        <v>235</v>
      </c>
      <c r="I91" s="4" t="s">
        <v>235</v>
      </c>
      <c r="J91" s="180">
        <v>39900</v>
      </c>
      <c r="K91" s="44"/>
      <c r="L91" s="5"/>
      <c r="M91" s="100">
        <v>0</v>
      </c>
      <c r="N91" s="70">
        <f>1508+870+446</f>
        <v>2824</v>
      </c>
      <c r="O91" s="70">
        <f>294.3+6475</f>
        <v>6769.3</v>
      </c>
      <c r="P91" s="70">
        <f>6475+2282.63</f>
        <v>8757.630000000001</v>
      </c>
      <c r="Q91" s="70"/>
      <c r="R91" s="55">
        <f t="shared" si="1"/>
        <v>21549.07</v>
      </c>
      <c r="S91" s="61">
        <v>43543</v>
      </c>
      <c r="T91" s="56"/>
    </row>
    <row r="92" spans="1:21" ht="135" x14ac:dyDescent="0.25">
      <c r="A92" s="1" t="s">
        <v>163</v>
      </c>
      <c r="B92" s="28" t="s">
        <v>161</v>
      </c>
      <c r="C92" s="2"/>
      <c r="D92" s="3" t="s">
        <v>123</v>
      </c>
      <c r="E92" s="3" t="s">
        <v>164</v>
      </c>
      <c r="F92" s="5" t="s">
        <v>4</v>
      </c>
      <c r="G92" s="3" t="s">
        <v>62</v>
      </c>
      <c r="H92" s="4" t="s">
        <v>99</v>
      </c>
      <c r="I92" s="4" t="s">
        <v>99</v>
      </c>
      <c r="J92" s="180">
        <v>280000</v>
      </c>
      <c r="K92" s="5"/>
      <c r="L92" s="5"/>
      <c r="M92" s="7">
        <v>0</v>
      </c>
      <c r="N92" s="70">
        <v>0</v>
      </c>
      <c r="O92" s="70"/>
      <c r="P92" s="70"/>
      <c r="Q92" s="70"/>
      <c r="R92" s="55">
        <f t="shared" si="1"/>
        <v>280000</v>
      </c>
      <c r="S92" s="61"/>
      <c r="T92" s="56"/>
    </row>
    <row r="93" spans="1:21" s="42" customFormat="1" ht="162" customHeight="1" x14ac:dyDescent="0.25">
      <c r="A93" s="1" t="s">
        <v>330</v>
      </c>
      <c r="B93" s="28" t="s">
        <v>331</v>
      </c>
      <c r="C93" s="40"/>
      <c r="D93" s="3" t="s">
        <v>123</v>
      </c>
      <c r="E93" s="3" t="s">
        <v>332</v>
      </c>
      <c r="F93" s="5" t="s">
        <v>6</v>
      </c>
      <c r="G93" s="3" t="s">
        <v>167</v>
      </c>
      <c r="H93" s="1" t="s">
        <v>333</v>
      </c>
      <c r="I93" s="4" t="s">
        <v>166</v>
      </c>
      <c r="J93" s="181">
        <v>423000</v>
      </c>
      <c r="K93" s="44"/>
      <c r="L93" s="5"/>
      <c r="M93" s="100">
        <v>0</v>
      </c>
      <c r="N93" s="55">
        <f>4593.74+5835.31+5587+4386.84+5421.45+5297.29+6331.94+5255.9</f>
        <v>42709.47</v>
      </c>
      <c r="O93" s="55">
        <f>1655.41+3807.45+1696.79+331.08+2690.03+2690.03+3641.88+2772.81+1862.33+2731.42+6704.4+3600.51</f>
        <v>34184.140000000007</v>
      </c>
      <c r="P93" s="55">
        <f>827.7+1324.33+3145.28+3352.19+5462.83+1241.56+1779.57+4469.59+2317.57</f>
        <v>23920.62</v>
      </c>
      <c r="Q93" s="55">
        <f>1158.79+2690.03+2317.58+5338.7</f>
        <v>11505.099999999999</v>
      </c>
      <c r="R93" s="55">
        <f t="shared" si="1"/>
        <v>310680.67</v>
      </c>
      <c r="S93" s="66"/>
      <c r="T93" s="56" t="s">
        <v>1127</v>
      </c>
      <c r="U93" s="234"/>
    </row>
    <row r="94" spans="1:21" ht="30" customHeight="1" x14ac:dyDescent="0.25">
      <c r="A94" s="1" t="s">
        <v>165</v>
      </c>
      <c r="B94" s="48" t="s">
        <v>168</v>
      </c>
      <c r="C94" s="2"/>
      <c r="D94" s="3" t="s">
        <v>123</v>
      </c>
      <c r="E94" s="2" t="s">
        <v>184</v>
      </c>
      <c r="F94" s="5" t="s">
        <v>5</v>
      </c>
      <c r="G94" s="3" t="s">
        <v>44</v>
      </c>
      <c r="H94" s="1" t="s">
        <v>185</v>
      </c>
      <c r="I94" s="4" t="s">
        <v>169</v>
      </c>
      <c r="J94" s="180">
        <v>39900</v>
      </c>
      <c r="K94" s="5"/>
      <c r="L94" s="5"/>
      <c r="M94" s="7">
        <v>0</v>
      </c>
      <c r="N94" s="70">
        <f>2650</f>
        <v>2650</v>
      </c>
      <c r="O94" s="70"/>
      <c r="P94" s="70"/>
      <c r="Q94" s="70"/>
      <c r="R94" s="55">
        <f t="shared" si="1"/>
        <v>37250</v>
      </c>
      <c r="S94" s="61">
        <v>43560</v>
      </c>
      <c r="T94" s="56"/>
    </row>
    <row r="95" spans="1:21" ht="30" x14ac:dyDescent="0.25">
      <c r="A95" s="1" t="s">
        <v>488</v>
      </c>
      <c r="B95" s="28" t="s">
        <v>489</v>
      </c>
      <c r="C95" s="2"/>
      <c r="D95" s="3" t="s">
        <v>123</v>
      </c>
      <c r="E95" s="3" t="s">
        <v>490</v>
      </c>
      <c r="F95" s="5" t="s">
        <v>5</v>
      </c>
      <c r="G95" s="3" t="s">
        <v>44</v>
      </c>
      <c r="H95" s="4" t="s">
        <v>836</v>
      </c>
      <c r="I95" s="4" t="s">
        <v>836</v>
      </c>
      <c r="J95" s="180">
        <v>10000</v>
      </c>
      <c r="K95" s="5"/>
      <c r="L95" s="5"/>
      <c r="M95" s="7">
        <v>0</v>
      </c>
      <c r="N95" s="55">
        <f>695.37+3612.88</f>
        <v>4308.25</v>
      </c>
      <c r="O95" s="55"/>
      <c r="P95" s="55"/>
      <c r="Q95" s="55"/>
      <c r="R95" s="55">
        <f t="shared" si="1"/>
        <v>5691.75</v>
      </c>
      <c r="S95" s="60">
        <v>43587</v>
      </c>
      <c r="T95" s="56"/>
    </row>
    <row r="96" spans="1:21" s="42" customFormat="1" ht="30" x14ac:dyDescent="0.25">
      <c r="A96" s="1" t="s">
        <v>491</v>
      </c>
      <c r="B96" s="39" t="s">
        <v>492</v>
      </c>
      <c r="C96" s="40"/>
      <c r="D96" s="3" t="s">
        <v>123</v>
      </c>
      <c r="E96" s="41" t="s">
        <v>493</v>
      </c>
      <c r="F96" s="5" t="s">
        <v>5</v>
      </c>
      <c r="G96" s="3" t="s">
        <v>44</v>
      </c>
      <c r="H96" s="4" t="s">
        <v>494</v>
      </c>
      <c r="I96" s="4" t="s">
        <v>494</v>
      </c>
      <c r="J96" s="181">
        <v>39900</v>
      </c>
      <c r="K96" s="44"/>
      <c r="L96" s="5"/>
      <c r="M96" s="100">
        <v>0</v>
      </c>
      <c r="N96" s="70">
        <v>0</v>
      </c>
      <c r="O96" s="70"/>
      <c r="P96" s="70"/>
      <c r="Q96" s="70"/>
      <c r="R96" s="55">
        <f t="shared" si="1"/>
        <v>39900</v>
      </c>
      <c r="S96" s="61">
        <v>43606</v>
      </c>
      <c r="T96" s="56"/>
    </row>
    <row r="97" spans="1:20" ht="45" x14ac:dyDescent="0.25">
      <c r="A97" s="1" t="s">
        <v>173</v>
      </c>
      <c r="B97" s="28" t="s">
        <v>172</v>
      </c>
      <c r="C97" s="2"/>
      <c r="D97" s="3" t="s">
        <v>123</v>
      </c>
      <c r="E97" s="3" t="s">
        <v>495</v>
      </c>
      <c r="F97" s="5" t="s">
        <v>6</v>
      </c>
      <c r="G97" s="3" t="s">
        <v>44</v>
      </c>
      <c r="H97" s="4" t="s">
        <v>166</v>
      </c>
      <c r="I97" s="4" t="s">
        <v>166</v>
      </c>
      <c r="J97" s="180">
        <v>39900</v>
      </c>
      <c r="K97" s="5"/>
      <c r="L97" s="5"/>
      <c r="M97" s="7">
        <v>0</v>
      </c>
      <c r="N97" s="55">
        <f>1064.25+3098.7+1469.16+148.5+1806.75+1883.48+2044.35</f>
        <v>11515.19</v>
      </c>
      <c r="O97" s="55">
        <f>881.1+1298.88+1613.7+1430.55+3372.93+1516.68+1673.1+2251.26+1430.55+1989.9+1247.4</f>
        <v>18706.050000000003</v>
      </c>
      <c r="P97" s="55">
        <f>1333.53+697.95+1076.63+915.75+2085.93+1692.9+1617.66+1969.11+1247.4+1098.9</f>
        <v>13735.76</v>
      </c>
      <c r="Q97" s="55"/>
      <c r="R97" s="235">
        <f t="shared" si="1"/>
        <v>-4057.0000000000073</v>
      </c>
      <c r="S97" s="61">
        <v>43607</v>
      </c>
      <c r="T97" s="56"/>
    </row>
    <row r="98" spans="1:20" ht="60" x14ac:dyDescent="0.25">
      <c r="A98" s="1" t="s">
        <v>496</v>
      </c>
      <c r="B98" s="28" t="s">
        <v>497</v>
      </c>
      <c r="C98" s="2"/>
      <c r="D98" s="3" t="s">
        <v>123</v>
      </c>
      <c r="E98" s="3" t="s">
        <v>498</v>
      </c>
      <c r="F98" s="37" t="s">
        <v>5</v>
      </c>
      <c r="G98" s="29" t="s">
        <v>44</v>
      </c>
      <c r="H98" s="4" t="s">
        <v>499</v>
      </c>
      <c r="I98" s="4" t="s">
        <v>499</v>
      </c>
      <c r="J98" s="180">
        <v>39900</v>
      </c>
      <c r="K98" s="5"/>
      <c r="L98" s="5"/>
      <c r="M98" s="7">
        <v>0</v>
      </c>
      <c r="N98" s="55">
        <f>600+900+1291.1+420</f>
        <v>3211.1</v>
      </c>
      <c r="O98" s="55">
        <f>414.8+1150</f>
        <v>1564.8</v>
      </c>
      <c r="P98" s="55"/>
      <c r="Q98" s="55"/>
      <c r="R98" s="55">
        <f t="shared" si="1"/>
        <v>35124.1</v>
      </c>
      <c r="S98" s="60">
        <v>43609</v>
      </c>
      <c r="T98" s="56"/>
    </row>
    <row r="99" spans="1:20" ht="45" x14ac:dyDescent="0.25">
      <c r="A99" s="1" t="s">
        <v>174</v>
      </c>
      <c r="B99" s="48" t="s">
        <v>877</v>
      </c>
      <c r="C99" s="2"/>
      <c r="D99" s="3" t="s">
        <v>123</v>
      </c>
      <c r="E99" s="3" t="s">
        <v>175</v>
      </c>
      <c r="F99" s="5" t="s">
        <v>6</v>
      </c>
      <c r="G99" s="3" t="s">
        <v>167</v>
      </c>
      <c r="H99" s="1" t="s">
        <v>176</v>
      </c>
      <c r="I99" s="4" t="s">
        <v>177</v>
      </c>
      <c r="J99" s="180">
        <v>198000</v>
      </c>
      <c r="K99" s="5"/>
      <c r="L99" s="5"/>
      <c r="M99" s="7">
        <v>0</v>
      </c>
      <c r="N99" s="70">
        <f>4776.8+8423.2+6163.2+4981.6+5118.4+3928+5166.4</f>
        <v>38557.600000000006</v>
      </c>
      <c r="O99" s="70">
        <f>2656+3950.4+8022.4+7172.8+6554.4+5952.8+7959.2+5964.8+6132.8+5771.2+6378.4</f>
        <v>66515.199999999997</v>
      </c>
      <c r="P99" s="70">
        <f>5615.2+100+3264+4609.6+5588+5420+6194.4+5266.4+5789.6+100+6352</f>
        <v>48299.200000000004</v>
      </c>
      <c r="Q99" s="70"/>
      <c r="R99" s="55">
        <f t="shared" si="1"/>
        <v>44628</v>
      </c>
      <c r="S99" s="66"/>
      <c r="T99" s="56"/>
    </row>
    <row r="100" spans="1:20" s="42" customFormat="1" ht="30" x14ac:dyDescent="0.25">
      <c r="A100" s="1" t="s">
        <v>178</v>
      </c>
      <c r="B100" s="39" t="s">
        <v>179</v>
      </c>
      <c r="C100" s="40"/>
      <c r="D100" s="3" t="s">
        <v>123</v>
      </c>
      <c r="E100" s="3" t="s">
        <v>961</v>
      </c>
      <c r="F100" s="5" t="s">
        <v>6</v>
      </c>
      <c r="G100" s="29" t="s">
        <v>189</v>
      </c>
      <c r="H100" s="1" t="s">
        <v>166</v>
      </c>
      <c r="I100" s="4" t="s">
        <v>166</v>
      </c>
      <c r="J100" s="181">
        <v>35000</v>
      </c>
      <c r="K100" s="44"/>
      <c r="L100" s="5"/>
      <c r="M100" s="100">
        <v>0</v>
      </c>
      <c r="N100" s="70">
        <v>0</v>
      </c>
      <c r="O100" s="70">
        <f>900+600</f>
        <v>1500</v>
      </c>
      <c r="P100" s="70">
        <f>150</f>
        <v>150</v>
      </c>
      <c r="Q100" s="70"/>
      <c r="R100" s="55">
        <f t="shared" si="1"/>
        <v>33350</v>
      </c>
      <c r="S100" s="61">
        <v>43623</v>
      </c>
      <c r="T100" s="56"/>
    </row>
    <row r="101" spans="1:20" s="42" customFormat="1" ht="45" x14ac:dyDescent="0.25">
      <c r="A101" s="1" t="s">
        <v>500</v>
      </c>
      <c r="B101" s="49" t="s">
        <v>501</v>
      </c>
      <c r="C101" s="40"/>
      <c r="D101" s="3" t="s">
        <v>123</v>
      </c>
      <c r="E101" s="41" t="s">
        <v>502</v>
      </c>
      <c r="F101" s="5" t="s">
        <v>5</v>
      </c>
      <c r="G101" s="29" t="s">
        <v>189</v>
      </c>
      <c r="H101" s="1" t="s">
        <v>503</v>
      </c>
      <c r="I101" s="1" t="s">
        <v>503</v>
      </c>
      <c r="J101" s="181">
        <v>39900</v>
      </c>
      <c r="K101" s="44"/>
      <c r="L101" s="5"/>
      <c r="M101" s="100">
        <v>0</v>
      </c>
      <c r="N101" s="70">
        <f>2190+18800+390+780</f>
        <v>22160</v>
      </c>
      <c r="O101" s="70">
        <f>200</f>
        <v>200</v>
      </c>
      <c r="P101" s="70"/>
      <c r="Q101" s="70"/>
      <c r="R101" s="55">
        <f t="shared" si="1"/>
        <v>17540</v>
      </c>
      <c r="S101" s="61">
        <v>43623</v>
      </c>
      <c r="T101" s="56"/>
    </row>
    <row r="102" spans="1:20" s="20" customFormat="1" ht="45" x14ac:dyDescent="0.25">
      <c r="A102" s="1" t="s">
        <v>597</v>
      </c>
      <c r="B102" s="28" t="s">
        <v>186</v>
      </c>
      <c r="C102" s="5"/>
      <c r="D102" s="3" t="s">
        <v>123</v>
      </c>
      <c r="E102" s="4" t="s">
        <v>594</v>
      </c>
      <c r="F102" s="5" t="s">
        <v>6</v>
      </c>
      <c r="G102" s="1" t="s">
        <v>2</v>
      </c>
      <c r="H102" s="1" t="s">
        <v>183</v>
      </c>
      <c r="I102" s="5" t="s">
        <v>183</v>
      </c>
      <c r="J102" s="180">
        <v>39900</v>
      </c>
      <c r="K102" s="5"/>
      <c r="L102" s="5"/>
      <c r="M102" s="101">
        <v>9000</v>
      </c>
      <c r="N102" s="70">
        <f>3000+3000</f>
        <v>6000</v>
      </c>
      <c r="O102" s="70">
        <f>3000+3000+1357</f>
        <v>7357</v>
      </c>
      <c r="P102" s="70">
        <f>1134.12+668+1242</f>
        <v>3044.12</v>
      </c>
      <c r="Q102" s="70"/>
      <c r="R102" s="55">
        <f t="shared" si="1"/>
        <v>14498.880000000001</v>
      </c>
      <c r="S102" s="60">
        <v>43637</v>
      </c>
      <c r="T102" s="56"/>
    </row>
    <row r="103" spans="1:20" s="19" customFormat="1" ht="30" x14ac:dyDescent="0.25">
      <c r="A103" s="4" t="s">
        <v>504</v>
      </c>
      <c r="B103" s="47" t="s">
        <v>505</v>
      </c>
      <c r="C103" s="11"/>
      <c r="D103" s="4" t="s">
        <v>123</v>
      </c>
      <c r="E103" s="4" t="s">
        <v>506</v>
      </c>
      <c r="F103" s="5" t="s">
        <v>5</v>
      </c>
      <c r="G103" s="6" t="s">
        <v>189</v>
      </c>
      <c r="H103" s="4" t="s">
        <v>190</v>
      </c>
      <c r="I103" s="4" t="s">
        <v>190</v>
      </c>
      <c r="J103" s="180">
        <v>39900</v>
      </c>
      <c r="K103" s="5"/>
      <c r="L103" s="5"/>
      <c r="M103" s="18">
        <v>0</v>
      </c>
      <c r="N103" s="55">
        <f>391.13+4862.01+3283.74</f>
        <v>8536.880000000001</v>
      </c>
      <c r="O103" s="55"/>
      <c r="P103" s="55"/>
      <c r="Q103" s="55"/>
      <c r="R103" s="55">
        <f t="shared" si="1"/>
        <v>31363.119999999999</v>
      </c>
      <c r="S103" s="61">
        <v>43656</v>
      </c>
      <c r="T103" s="56"/>
    </row>
    <row r="104" spans="1:20" s="19" customFormat="1" ht="30" x14ac:dyDescent="0.25">
      <c r="A104" s="4" t="s">
        <v>507</v>
      </c>
      <c r="B104" s="47" t="s">
        <v>508</v>
      </c>
      <c r="C104" s="11"/>
      <c r="D104" s="4" t="s">
        <v>123</v>
      </c>
      <c r="E104" s="4" t="s">
        <v>509</v>
      </c>
      <c r="F104" s="5" t="s">
        <v>6</v>
      </c>
      <c r="G104" s="6" t="s">
        <v>189</v>
      </c>
      <c r="H104" s="4" t="s">
        <v>191</v>
      </c>
      <c r="I104" s="11" t="s">
        <v>191</v>
      </c>
      <c r="J104" s="180">
        <v>39900</v>
      </c>
      <c r="K104" s="5"/>
      <c r="L104" s="5"/>
      <c r="M104" s="18">
        <v>0</v>
      </c>
      <c r="N104" s="102">
        <v>0</v>
      </c>
      <c r="O104" s="102"/>
      <c r="P104" s="102"/>
      <c r="Q104" s="102"/>
      <c r="R104" s="55">
        <f t="shared" si="1"/>
        <v>39900</v>
      </c>
      <c r="S104" s="60">
        <v>43657</v>
      </c>
      <c r="T104" s="207"/>
    </row>
    <row r="105" spans="1:20" s="19" customFormat="1" ht="60" x14ac:dyDescent="0.25">
      <c r="A105" s="4" t="s">
        <v>195</v>
      </c>
      <c r="B105" s="47" t="s">
        <v>197</v>
      </c>
      <c r="C105" s="11"/>
      <c r="D105" s="4" t="s">
        <v>123</v>
      </c>
      <c r="E105" s="4" t="s">
        <v>193</v>
      </c>
      <c r="F105" s="5" t="s">
        <v>6</v>
      </c>
      <c r="G105" s="6" t="s">
        <v>189</v>
      </c>
      <c r="H105" s="4" t="s">
        <v>194</v>
      </c>
      <c r="I105" s="11" t="s">
        <v>194</v>
      </c>
      <c r="J105" s="180">
        <v>39900</v>
      </c>
      <c r="K105" s="5"/>
      <c r="L105" s="5"/>
      <c r="M105" s="18">
        <v>0</v>
      </c>
      <c r="N105" s="102">
        <v>0</v>
      </c>
      <c r="O105" s="102">
        <f>2392+2392+2392</f>
        <v>7176</v>
      </c>
      <c r="P105" s="102">
        <f>1909.41+2392+2392+2392</f>
        <v>9085.41</v>
      </c>
      <c r="Q105" s="102"/>
      <c r="R105" s="55">
        <f t="shared" si="1"/>
        <v>23638.59</v>
      </c>
      <c r="S105" s="60">
        <v>43664</v>
      </c>
      <c r="T105" s="110"/>
    </row>
    <row r="106" spans="1:20" s="19" customFormat="1" ht="45" x14ac:dyDescent="0.25">
      <c r="A106" s="4" t="s">
        <v>196</v>
      </c>
      <c r="B106" s="47" t="s">
        <v>202</v>
      </c>
      <c r="C106" s="11"/>
      <c r="D106" s="4" t="s">
        <v>123</v>
      </c>
      <c r="E106" s="4" t="s">
        <v>201</v>
      </c>
      <c r="F106" s="5" t="s">
        <v>6</v>
      </c>
      <c r="G106" s="6" t="s">
        <v>189</v>
      </c>
      <c r="H106" s="4" t="s">
        <v>835</v>
      </c>
      <c r="I106" s="11" t="s">
        <v>835</v>
      </c>
      <c r="J106" s="180">
        <v>39900</v>
      </c>
      <c r="K106" s="5"/>
      <c r="L106" s="5"/>
      <c r="M106" s="18">
        <v>0</v>
      </c>
      <c r="N106" s="70">
        <f>1725.88+4017.52</f>
        <v>5743.4</v>
      </c>
      <c r="O106" s="70">
        <f>5223.66+4180.28+3182.4</f>
        <v>12586.339999999998</v>
      </c>
      <c r="P106" s="70">
        <f>5659.68+2694.12+3428.36</f>
        <v>11782.16</v>
      </c>
      <c r="Q106" s="70"/>
      <c r="R106" s="55">
        <f t="shared" si="1"/>
        <v>9788.1000000000022</v>
      </c>
      <c r="S106" s="60">
        <v>43672</v>
      </c>
      <c r="T106" s="56"/>
    </row>
    <row r="107" spans="1:20" s="19" customFormat="1" ht="30" x14ac:dyDescent="0.25">
      <c r="A107" s="4" t="s">
        <v>198</v>
      </c>
      <c r="B107" s="47" t="s">
        <v>203</v>
      </c>
      <c r="C107" s="11"/>
      <c r="D107" s="4" t="s">
        <v>123</v>
      </c>
      <c r="E107" s="4" t="s">
        <v>200</v>
      </c>
      <c r="F107" s="5" t="s">
        <v>6</v>
      </c>
      <c r="G107" s="6" t="s">
        <v>189</v>
      </c>
      <c r="H107" s="4" t="s">
        <v>199</v>
      </c>
      <c r="I107" s="11" t="s">
        <v>199</v>
      </c>
      <c r="J107" s="180">
        <v>39900</v>
      </c>
      <c r="K107" s="5"/>
      <c r="L107" s="5"/>
      <c r="M107" s="18">
        <v>0</v>
      </c>
      <c r="N107" s="102"/>
      <c r="O107" s="102"/>
      <c r="P107" s="102"/>
      <c r="Q107" s="102"/>
      <c r="R107" s="55">
        <f t="shared" si="1"/>
        <v>39900</v>
      </c>
      <c r="S107" s="60">
        <v>43673</v>
      </c>
      <c r="T107" s="56"/>
    </row>
    <row r="108" spans="1:20" s="19" customFormat="1" ht="30" x14ac:dyDescent="0.25">
      <c r="A108" s="4" t="s">
        <v>205</v>
      </c>
      <c r="B108" s="47" t="s">
        <v>204</v>
      </c>
      <c r="C108" s="11"/>
      <c r="D108" s="4" t="s">
        <v>123</v>
      </c>
      <c r="E108" s="4" t="s">
        <v>510</v>
      </c>
      <c r="F108" s="5" t="s">
        <v>4</v>
      </c>
      <c r="G108" s="6" t="s">
        <v>189</v>
      </c>
      <c r="H108" s="4" t="s">
        <v>206</v>
      </c>
      <c r="I108" s="11" t="s">
        <v>206</v>
      </c>
      <c r="J108" s="180">
        <v>39900</v>
      </c>
      <c r="K108" s="5"/>
      <c r="L108" s="5"/>
      <c r="M108" s="18">
        <v>0</v>
      </c>
      <c r="N108" s="70">
        <f>2016+2016</f>
        <v>4032</v>
      </c>
      <c r="O108" s="70">
        <f>2016+2016+2016+2016+2016+2016+2016</f>
        <v>14112</v>
      </c>
      <c r="P108" s="70">
        <f>2017.05+2016+2016+2016</f>
        <v>8065.05</v>
      </c>
      <c r="Q108" s="70"/>
      <c r="R108" s="55">
        <f t="shared" si="1"/>
        <v>13690.95</v>
      </c>
      <c r="S108" s="60">
        <v>43675</v>
      </c>
      <c r="T108" s="56"/>
    </row>
    <row r="109" spans="1:20" s="19" customFormat="1" ht="45" x14ac:dyDescent="0.25">
      <c r="A109" s="4" t="s">
        <v>209</v>
      </c>
      <c r="B109" s="47" t="s">
        <v>217</v>
      </c>
      <c r="C109" s="11"/>
      <c r="D109" s="4" t="s">
        <v>123</v>
      </c>
      <c r="E109" s="4" t="s">
        <v>511</v>
      </c>
      <c r="F109" s="5" t="s">
        <v>5</v>
      </c>
      <c r="G109" s="6" t="s">
        <v>189</v>
      </c>
      <c r="H109" s="4" t="s">
        <v>63</v>
      </c>
      <c r="I109" s="11" t="s">
        <v>63</v>
      </c>
      <c r="J109" s="180">
        <v>39900</v>
      </c>
      <c r="K109" s="5"/>
      <c r="L109" s="5"/>
      <c r="M109" s="18">
        <v>0</v>
      </c>
      <c r="N109" s="55">
        <f>798+3643+1278+2463+725</f>
        <v>8907</v>
      </c>
      <c r="O109" s="55">
        <f>770+4447.5+1235+650+1724+2035+855+2408+600+701</f>
        <v>15425.5</v>
      </c>
      <c r="P109" s="55">
        <f>600+731+1609+1345+650+1111+825+1055+600+1230.5</f>
        <v>9756.5</v>
      </c>
      <c r="Q109" s="55">
        <f>750+1987.5+600</f>
        <v>3337.5</v>
      </c>
      <c r="R109" s="55">
        <f t="shared" si="1"/>
        <v>2473.5</v>
      </c>
      <c r="S109" s="60">
        <v>43683</v>
      </c>
      <c r="T109" s="56" t="s">
        <v>1093</v>
      </c>
    </row>
    <row r="110" spans="1:20" s="19" customFormat="1" ht="30" x14ac:dyDescent="0.25">
      <c r="A110" s="4" t="s">
        <v>210</v>
      </c>
      <c r="B110" s="50" t="s">
        <v>215</v>
      </c>
      <c r="C110" s="11"/>
      <c r="D110" s="4" t="s">
        <v>123</v>
      </c>
      <c r="E110" s="4" t="s">
        <v>512</v>
      </c>
      <c r="F110" s="5" t="s">
        <v>5</v>
      </c>
      <c r="G110" s="6" t="s">
        <v>189</v>
      </c>
      <c r="H110" s="4" t="s">
        <v>216</v>
      </c>
      <c r="I110" s="11" t="s">
        <v>216</v>
      </c>
      <c r="J110" s="180">
        <v>39900</v>
      </c>
      <c r="K110" s="5"/>
      <c r="L110" s="5"/>
      <c r="M110" s="18">
        <v>0</v>
      </c>
      <c r="N110" s="103">
        <v>0</v>
      </c>
      <c r="O110" s="103"/>
      <c r="P110" s="103"/>
      <c r="Q110" s="103"/>
      <c r="R110" s="55">
        <f t="shared" si="1"/>
        <v>39900</v>
      </c>
      <c r="S110" s="107">
        <v>43683</v>
      </c>
      <c r="T110" s="56"/>
    </row>
    <row r="111" spans="1:20" s="19" customFormat="1" ht="60" x14ac:dyDescent="0.25">
      <c r="A111" s="4" t="s">
        <v>211</v>
      </c>
      <c r="B111" s="50" t="s">
        <v>274</v>
      </c>
      <c r="C111" s="11"/>
      <c r="D111" s="4" t="s">
        <v>123</v>
      </c>
      <c r="E111" s="4" t="s">
        <v>513</v>
      </c>
      <c r="F111" s="5" t="s">
        <v>6</v>
      </c>
      <c r="G111" s="6" t="s">
        <v>189</v>
      </c>
      <c r="H111" s="4" t="s">
        <v>17</v>
      </c>
      <c r="I111" s="11" t="s">
        <v>17</v>
      </c>
      <c r="J111" s="180">
        <v>39900</v>
      </c>
      <c r="K111" s="5"/>
      <c r="L111" s="5"/>
      <c r="M111" s="18">
        <v>0</v>
      </c>
      <c r="N111" s="102">
        <v>0</v>
      </c>
      <c r="O111" s="102">
        <f>3528+3711.75+3860.22</f>
        <v>11099.97</v>
      </c>
      <c r="P111" s="102">
        <f>3417.75</f>
        <v>3417.75</v>
      </c>
      <c r="Q111" s="102">
        <f>3270.75+1984.5+3087</f>
        <v>8342.25</v>
      </c>
      <c r="R111" s="55">
        <f t="shared" si="1"/>
        <v>17040.03</v>
      </c>
      <c r="S111" s="60">
        <v>43683</v>
      </c>
      <c r="T111" s="56" t="s">
        <v>1120</v>
      </c>
    </row>
    <row r="112" spans="1:20" s="42" customFormat="1" ht="30" x14ac:dyDescent="0.25">
      <c r="A112" s="4" t="s">
        <v>514</v>
      </c>
      <c r="B112" s="50" t="s">
        <v>515</v>
      </c>
      <c r="C112" s="40"/>
      <c r="D112" s="3" t="s">
        <v>123</v>
      </c>
      <c r="E112" s="41" t="s">
        <v>516</v>
      </c>
      <c r="F112" s="37"/>
      <c r="G112" s="29" t="s">
        <v>430</v>
      </c>
      <c r="H112" s="4" t="s">
        <v>431</v>
      </c>
      <c r="I112" s="4" t="s">
        <v>431</v>
      </c>
      <c r="J112" s="181">
        <v>39900</v>
      </c>
      <c r="K112" s="44"/>
      <c r="L112" s="5" t="s">
        <v>863</v>
      </c>
      <c r="M112" s="7">
        <v>0</v>
      </c>
      <c r="N112" s="55">
        <f>11548.52</f>
        <v>11548.52</v>
      </c>
      <c r="O112" s="55"/>
      <c r="P112" s="55"/>
      <c r="Q112" s="55"/>
      <c r="R112" s="55">
        <f t="shared" si="1"/>
        <v>28351.48</v>
      </c>
      <c r="S112" s="61">
        <v>43760</v>
      </c>
      <c r="T112" s="56"/>
    </row>
    <row r="113" spans="1:20" s="42" customFormat="1" ht="30" x14ac:dyDescent="0.25">
      <c r="A113" s="1" t="s">
        <v>219</v>
      </c>
      <c r="B113" s="28" t="s">
        <v>221</v>
      </c>
      <c r="C113" s="2" t="s">
        <v>222</v>
      </c>
      <c r="D113" s="3" t="s">
        <v>123</v>
      </c>
      <c r="E113" s="41" t="s">
        <v>220</v>
      </c>
      <c r="F113" s="5" t="s">
        <v>5</v>
      </c>
      <c r="G113" s="6" t="s">
        <v>189</v>
      </c>
      <c r="H113" s="4" t="s">
        <v>831</v>
      </c>
      <c r="I113" s="4" t="s">
        <v>831</v>
      </c>
      <c r="J113" s="181">
        <v>39900</v>
      </c>
      <c r="K113" s="44"/>
      <c r="L113" s="5"/>
      <c r="M113" s="100">
        <v>0</v>
      </c>
      <c r="N113" s="70">
        <v>0</v>
      </c>
      <c r="O113" s="70">
        <f>4175+29706+4342</f>
        <v>38223</v>
      </c>
      <c r="P113" s="70"/>
      <c r="Q113" s="70"/>
      <c r="R113" s="55">
        <f t="shared" si="1"/>
        <v>1677</v>
      </c>
      <c r="S113" s="61">
        <v>43693</v>
      </c>
      <c r="T113" s="56"/>
    </row>
    <row r="114" spans="1:20" s="42" customFormat="1" ht="30" x14ac:dyDescent="0.25">
      <c r="A114" s="1" t="s">
        <v>212</v>
      </c>
      <c r="B114" s="39" t="s">
        <v>226</v>
      </c>
      <c r="C114" s="40"/>
      <c r="D114" s="3" t="s">
        <v>123</v>
      </c>
      <c r="E114" s="41" t="s">
        <v>242</v>
      </c>
      <c r="F114" s="37" t="s">
        <v>6</v>
      </c>
      <c r="G114" s="29" t="s">
        <v>240</v>
      </c>
      <c r="H114" s="4" t="s">
        <v>241</v>
      </c>
      <c r="I114" s="4" t="s">
        <v>241</v>
      </c>
      <c r="J114" s="181">
        <v>39900</v>
      </c>
      <c r="K114" s="44"/>
      <c r="L114" s="5"/>
      <c r="M114" s="7">
        <v>0</v>
      </c>
      <c r="N114" s="7">
        <f>730.1+27620</f>
        <v>28350.1</v>
      </c>
      <c r="O114" s="7">
        <f>750</f>
        <v>750</v>
      </c>
      <c r="P114" s="7">
        <f>750+100</f>
        <v>850</v>
      </c>
      <c r="Q114" s="7">
        <f>750</f>
        <v>750</v>
      </c>
      <c r="R114" s="55">
        <f>J114-(M114+N114+O114+P114+Q114)</f>
        <v>9199.9000000000015</v>
      </c>
      <c r="S114" s="53">
        <v>43760</v>
      </c>
      <c r="T114" s="56" t="s">
        <v>1114</v>
      </c>
    </row>
    <row r="115" spans="1:20" s="42" customFormat="1" ht="30" x14ac:dyDescent="0.25">
      <c r="A115" s="1" t="s">
        <v>213</v>
      </c>
      <c r="B115" s="39" t="s">
        <v>227</v>
      </c>
      <c r="C115" s="40"/>
      <c r="D115" s="3" t="s">
        <v>123</v>
      </c>
      <c r="E115" s="41" t="s">
        <v>239</v>
      </c>
      <c r="F115" s="37" t="s">
        <v>6</v>
      </c>
      <c r="G115" s="29" t="s">
        <v>2</v>
      </c>
      <c r="H115" s="4" t="s">
        <v>89</v>
      </c>
      <c r="I115" s="4" t="s">
        <v>89</v>
      </c>
      <c r="J115" s="181">
        <v>39900</v>
      </c>
      <c r="K115" s="44"/>
      <c r="L115" s="5"/>
      <c r="M115" s="7">
        <v>0</v>
      </c>
      <c r="N115" s="7">
        <f>327.6</f>
        <v>327.60000000000002</v>
      </c>
      <c r="O115" s="7">
        <f>440+332.8+323.7+440+440+426.92+440.44+880+440+401.44+440+638+185+348.92+348.92+1122+346.06+1248.94+343.2</f>
        <v>9586.340000000002</v>
      </c>
      <c r="P115" s="7"/>
      <c r="Q115" s="7"/>
      <c r="R115" s="55">
        <f t="shared" si="1"/>
        <v>29986.059999999998</v>
      </c>
      <c r="S115" s="53">
        <v>43767</v>
      </c>
      <c r="T115" s="56"/>
    </row>
    <row r="116" spans="1:20" s="42" customFormat="1" ht="45" x14ac:dyDescent="0.25">
      <c r="A116" s="1" t="s">
        <v>214</v>
      </c>
      <c r="B116" s="39" t="s">
        <v>263</v>
      </c>
      <c r="C116" s="40"/>
      <c r="D116" s="3" t="s">
        <v>123</v>
      </c>
      <c r="E116" s="41" t="s">
        <v>264</v>
      </c>
      <c r="F116" s="37" t="s">
        <v>6</v>
      </c>
      <c r="G116" s="29" t="s">
        <v>2</v>
      </c>
      <c r="H116" s="4" t="s">
        <v>517</v>
      </c>
      <c r="I116" s="4" t="s">
        <v>517</v>
      </c>
      <c r="J116" s="181">
        <v>39900</v>
      </c>
      <c r="K116" s="44"/>
      <c r="L116" s="5"/>
      <c r="M116" s="7">
        <v>0</v>
      </c>
      <c r="N116" s="57">
        <v>0</v>
      </c>
      <c r="O116" s="57">
        <f>37917</f>
        <v>37917</v>
      </c>
      <c r="P116" s="57"/>
      <c r="Q116" s="57"/>
      <c r="R116" s="55">
        <f t="shared" si="1"/>
        <v>1983</v>
      </c>
      <c r="S116" s="108">
        <v>43809</v>
      </c>
      <c r="T116" s="56"/>
    </row>
    <row r="117" spans="1:20" s="42" customFormat="1" ht="60" x14ac:dyDescent="0.25">
      <c r="A117" s="1" t="s">
        <v>230</v>
      </c>
      <c r="B117" s="39" t="s">
        <v>228</v>
      </c>
      <c r="C117" s="40"/>
      <c r="D117" s="3" t="s">
        <v>123</v>
      </c>
      <c r="E117" s="41" t="s">
        <v>229</v>
      </c>
      <c r="F117" s="37" t="s">
        <v>5</v>
      </c>
      <c r="G117" s="6" t="s">
        <v>189</v>
      </c>
      <c r="H117" s="4" t="s">
        <v>1081</v>
      </c>
      <c r="I117" s="4" t="s">
        <v>1081</v>
      </c>
      <c r="J117" s="181">
        <v>39900</v>
      </c>
      <c r="K117" s="44"/>
      <c r="L117" s="5"/>
      <c r="M117" s="7">
        <v>0</v>
      </c>
      <c r="N117" s="70">
        <f>3384</f>
        <v>3384</v>
      </c>
      <c r="O117" s="70">
        <f>4500+180+3750</f>
        <v>8430</v>
      </c>
      <c r="P117" s="70">
        <f>3000+3650+3420</f>
        <v>10070</v>
      </c>
      <c r="Q117" s="70">
        <f>5000</f>
        <v>5000</v>
      </c>
      <c r="R117" s="55">
        <f>J117-(M117+N117+O117+P117+Q117)</f>
        <v>13016</v>
      </c>
      <c r="S117" s="61">
        <v>43767</v>
      </c>
      <c r="T117" s="56" t="s">
        <v>1118</v>
      </c>
    </row>
    <row r="118" spans="1:20" ht="120" x14ac:dyDescent="0.25">
      <c r="A118" s="1" t="s">
        <v>232</v>
      </c>
      <c r="B118" s="28" t="s">
        <v>231</v>
      </c>
      <c r="C118" s="2"/>
      <c r="D118" s="3" t="s">
        <v>123</v>
      </c>
      <c r="E118" s="3" t="s">
        <v>759</v>
      </c>
      <c r="F118" s="37" t="s">
        <v>4</v>
      </c>
      <c r="G118" s="29" t="s">
        <v>44</v>
      </c>
      <c r="H118" s="4" t="s">
        <v>699</v>
      </c>
      <c r="I118" s="4" t="s">
        <v>699</v>
      </c>
      <c r="J118" s="180">
        <v>39900</v>
      </c>
      <c r="K118" s="5"/>
      <c r="L118" s="5"/>
      <c r="M118" s="7">
        <v>0</v>
      </c>
      <c r="N118" s="55">
        <f>3850+721.73</f>
        <v>4571.7299999999996</v>
      </c>
      <c r="O118" s="55">
        <f>1315+780+1680+377+1924.8+1220+246+195+1680+250+110+246+1680+175+198.1+230+246+1680+650+246+4150</f>
        <v>19278.900000000001</v>
      </c>
      <c r="P118" s="55">
        <f>1680+780+624+489.28+1680+1680+210.54+1680</f>
        <v>8823.82</v>
      </c>
      <c r="Q118" s="55"/>
      <c r="R118" s="55">
        <f t="shared" si="1"/>
        <v>7225.5499999999993</v>
      </c>
      <c r="S118" s="60">
        <v>43775</v>
      </c>
      <c r="T118" s="59"/>
    </row>
    <row r="119" spans="1:20" s="42" customFormat="1" ht="30" x14ac:dyDescent="0.25">
      <c r="A119" s="1" t="s">
        <v>236</v>
      </c>
      <c r="B119" s="28" t="s">
        <v>233</v>
      </c>
      <c r="C119" s="40"/>
      <c r="D119" s="3" t="s">
        <v>123</v>
      </c>
      <c r="E119" s="41" t="s">
        <v>234</v>
      </c>
      <c r="F119" s="5" t="s">
        <v>5</v>
      </c>
      <c r="G119" s="29" t="s">
        <v>44</v>
      </c>
      <c r="H119" s="1" t="s">
        <v>896</v>
      </c>
      <c r="I119" s="1" t="s">
        <v>896</v>
      </c>
      <c r="J119" s="180">
        <v>39900</v>
      </c>
      <c r="K119" s="5"/>
      <c r="L119" s="5"/>
      <c r="M119" s="7">
        <v>0</v>
      </c>
      <c r="N119" s="55">
        <v>0</v>
      </c>
      <c r="O119" s="55">
        <f>75.95+22.85+130+348.03+46+365.29+362.05</f>
        <v>1350.1699999999998</v>
      </c>
      <c r="P119" s="55">
        <f>74+85+130+143.29+150+150.54+240+348.03+129.8+399.23</f>
        <v>1849.8899999999999</v>
      </c>
      <c r="Q119" s="55"/>
      <c r="R119" s="55">
        <f t="shared" si="1"/>
        <v>36699.94</v>
      </c>
      <c r="S119" s="60">
        <v>43775</v>
      </c>
      <c r="T119" s="56"/>
    </row>
    <row r="120" spans="1:20" s="42" customFormat="1" ht="30" x14ac:dyDescent="0.25">
      <c r="A120" s="1" t="s">
        <v>518</v>
      </c>
      <c r="B120" s="39" t="s">
        <v>519</v>
      </c>
      <c r="C120" s="40"/>
      <c r="D120" s="3" t="s">
        <v>123</v>
      </c>
      <c r="E120" s="41" t="s">
        <v>520</v>
      </c>
      <c r="F120" s="5" t="s">
        <v>5</v>
      </c>
      <c r="G120" s="29" t="s">
        <v>44</v>
      </c>
      <c r="H120" s="1" t="s">
        <v>521</v>
      </c>
      <c r="I120" s="1" t="s">
        <v>521</v>
      </c>
      <c r="J120" s="181">
        <v>39900</v>
      </c>
      <c r="K120" s="44"/>
      <c r="L120" s="5"/>
      <c r="M120" s="100">
        <v>0</v>
      </c>
      <c r="N120" s="70">
        <f>1550</f>
        <v>1550</v>
      </c>
      <c r="O120" s="70">
        <f>21100</f>
        <v>21100</v>
      </c>
      <c r="P120" s="70"/>
      <c r="Q120" s="70"/>
      <c r="R120" s="55">
        <f t="shared" si="1"/>
        <v>17250</v>
      </c>
      <c r="S120" s="61">
        <v>43789</v>
      </c>
      <c r="T120" s="56"/>
    </row>
    <row r="121" spans="1:20" s="42" customFormat="1" ht="30" x14ac:dyDescent="0.25">
      <c r="A121" s="1" t="s">
        <v>522</v>
      </c>
      <c r="B121" s="39" t="s">
        <v>523</v>
      </c>
      <c r="C121" s="40"/>
      <c r="D121" s="3" t="s">
        <v>123</v>
      </c>
      <c r="E121" s="41" t="s">
        <v>694</v>
      </c>
      <c r="F121" s="5" t="s">
        <v>6</v>
      </c>
      <c r="G121" s="29" t="s">
        <v>44</v>
      </c>
      <c r="H121" s="1" t="s">
        <v>827</v>
      </c>
      <c r="I121" s="5" t="s">
        <v>827</v>
      </c>
      <c r="J121" s="181">
        <v>39900</v>
      </c>
      <c r="K121" s="44"/>
      <c r="L121" s="5"/>
      <c r="M121" s="100">
        <v>0</v>
      </c>
      <c r="N121" s="70">
        <f>4680</f>
        <v>4680</v>
      </c>
      <c r="O121" s="70">
        <f>2900</f>
        <v>2900</v>
      </c>
      <c r="P121" s="70"/>
      <c r="Q121" s="70">
        <f>624+25.9</f>
        <v>649.9</v>
      </c>
      <c r="R121" s="55">
        <f t="shared" si="1"/>
        <v>31670.1</v>
      </c>
      <c r="S121" s="61">
        <v>43794</v>
      </c>
      <c r="T121" s="56" t="s">
        <v>1033</v>
      </c>
    </row>
    <row r="122" spans="1:20" s="42" customFormat="1" ht="30" x14ac:dyDescent="0.25">
      <c r="A122" s="51" t="s">
        <v>565</v>
      </c>
      <c r="B122" s="39" t="s">
        <v>251</v>
      </c>
      <c r="C122" s="40" t="s">
        <v>574</v>
      </c>
      <c r="D122" s="3" t="s">
        <v>123</v>
      </c>
      <c r="E122" s="30" t="s">
        <v>249</v>
      </c>
      <c r="F122" s="5" t="s">
        <v>4</v>
      </c>
      <c r="G122" s="29" t="s">
        <v>44</v>
      </c>
      <c r="H122" s="1" t="s">
        <v>270</v>
      </c>
      <c r="I122" s="5" t="s">
        <v>270</v>
      </c>
      <c r="J122" s="181">
        <v>39900</v>
      </c>
      <c r="K122" s="44"/>
      <c r="L122" s="5"/>
      <c r="M122" s="100">
        <v>0</v>
      </c>
      <c r="N122" s="70">
        <v>0</v>
      </c>
      <c r="O122" s="70">
        <f>2318.3+1570+524</f>
        <v>4412.3</v>
      </c>
      <c r="P122" s="70"/>
      <c r="Q122" s="70"/>
      <c r="R122" s="55">
        <f t="shared" si="1"/>
        <v>35487.699999999997</v>
      </c>
      <c r="S122" s="61">
        <v>43805</v>
      </c>
      <c r="T122" s="56"/>
    </row>
    <row r="123" spans="1:20" s="42" customFormat="1" ht="30" x14ac:dyDescent="0.25">
      <c r="A123" s="51" t="s">
        <v>566</v>
      </c>
      <c r="B123" s="39" t="s">
        <v>252</v>
      </c>
      <c r="C123" s="40" t="s">
        <v>575</v>
      </c>
      <c r="D123" s="3" t="s">
        <v>123</v>
      </c>
      <c r="E123" s="30" t="s">
        <v>245</v>
      </c>
      <c r="F123" s="5" t="s">
        <v>5</v>
      </c>
      <c r="G123" s="29" t="s">
        <v>44</v>
      </c>
      <c r="H123" s="1" t="s">
        <v>389</v>
      </c>
      <c r="I123" s="5" t="s">
        <v>389</v>
      </c>
      <c r="J123" s="181">
        <v>39900</v>
      </c>
      <c r="K123" s="44"/>
      <c r="L123" s="5"/>
      <c r="M123" s="100">
        <v>0</v>
      </c>
      <c r="N123" s="70">
        <v>0</v>
      </c>
      <c r="O123" s="70">
        <f>5900</f>
        <v>5900</v>
      </c>
      <c r="P123" s="70"/>
      <c r="Q123" s="70"/>
      <c r="R123" s="55">
        <f t="shared" si="1"/>
        <v>34000</v>
      </c>
      <c r="S123" s="61">
        <v>43805</v>
      </c>
      <c r="T123" s="56"/>
    </row>
    <row r="124" spans="1:20" s="42" customFormat="1" ht="60" x14ac:dyDescent="0.25">
      <c r="A124" s="51" t="s">
        <v>567</v>
      </c>
      <c r="B124" s="39" t="s">
        <v>253</v>
      </c>
      <c r="C124" s="40" t="s">
        <v>576</v>
      </c>
      <c r="D124" s="3" t="s">
        <v>123</v>
      </c>
      <c r="E124" s="30" t="s">
        <v>248</v>
      </c>
      <c r="F124" s="5" t="s">
        <v>4</v>
      </c>
      <c r="G124" s="29" t="s">
        <v>44</v>
      </c>
      <c r="H124" s="1" t="s">
        <v>837</v>
      </c>
      <c r="I124" s="5" t="s">
        <v>837</v>
      </c>
      <c r="J124" s="181">
        <v>39900</v>
      </c>
      <c r="K124" s="44"/>
      <c r="L124" s="5"/>
      <c r="M124" s="100">
        <v>0</v>
      </c>
      <c r="N124" s="70">
        <v>0</v>
      </c>
      <c r="O124" s="70">
        <f>6201.5+1740+1500</f>
        <v>9441.5</v>
      </c>
      <c r="P124" s="70"/>
      <c r="Q124" s="70"/>
      <c r="R124" s="55">
        <f t="shared" si="1"/>
        <v>30458.5</v>
      </c>
      <c r="S124" s="61">
        <v>43805</v>
      </c>
      <c r="T124" s="56"/>
    </row>
    <row r="125" spans="1:20" s="42" customFormat="1" ht="30" x14ac:dyDescent="0.25">
      <c r="A125" s="51" t="s">
        <v>568</v>
      </c>
      <c r="B125" s="39" t="s">
        <v>254</v>
      </c>
      <c r="C125" s="40" t="s">
        <v>577</v>
      </c>
      <c r="D125" s="3" t="s">
        <v>123</v>
      </c>
      <c r="E125" s="30" t="s">
        <v>247</v>
      </c>
      <c r="F125" s="5" t="s">
        <v>4</v>
      </c>
      <c r="G125" s="29" t="s">
        <v>44</v>
      </c>
      <c r="H125" s="1" t="s">
        <v>259</v>
      </c>
      <c r="I125" s="5" t="s">
        <v>259</v>
      </c>
      <c r="J125" s="181">
        <v>39900</v>
      </c>
      <c r="K125" s="44"/>
      <c r="L125" s="5"/>
      <c r="M125" s="100">
        <v>0</v>
      </c>
      <c r="N125" s="70">
        <v>0</v>
      </c>
      <c r="O125" s="70">
        <f>4650+774.5</f>
        <v>5424.5</v>
      </c>
      <c r="P125" s="70"/>
      <c r="Q125" s="70"/>
      <c r="R125" s="55">
        <f t="shared" si="1"/>
        <v>34475.5</v>
      </c>
      <c r="S125" s="61">
        <v>43805</v>
      </c>
      <c r="T125" s="56"/>
    </row>
    <row r="126" spans="1:20" s="42" customFormat="1" ht="30" x14ac:dyDescent="0.25">
      <c r="A126" s="51" t="s">
        <v>569</v>
      </c>
      <c r="B126" s="39" t="s">
        <v>255</v>
      </c>
      <c r="C126" s="40" t="s">
        <v>578</v>
      </c>
      <c r="D126" s="3" t="s">
        <v>123</v>
      </c>
      <c r="E126" s="30" t="s">
        <v>269</v>
      </c>
      <c r="F126" s="5" t="s">
        <v>4</v>
      </c>
      <c r="G126" s="29" t="s">
        <v>44</v>
      </c>
      <c r="H126" s="1" t="s">
        <v>260</v>
      </c>
      <c r="I126" s="5" t="s">
        <v>260</v>
      </c>
      <c r="J126" s="181">
        <v>39900</v>
      </c>
      <c r="K126" s="44"/>
      <c r="L126" s="5"/>
      <c r="M126" s="100">
        <v>0</v>
      </c>
      <c r="N126" s="70">
        <f>3320</f>
        <v>3320</v>
      </c>
      <c r="O126" s="70"/>
      <c r="P126" s="70"/>
      <c r="Q126" s="70"/>
      <c r="R126" s="55">
        <f t="shared" si="1"/>
        <v>36580</v>
      </c>
      <c r="S126" s="61">
        <v>43805</v>
      </c>
      <c r="T126" s="56"/>
    </row>
    <row r="127" spans="1:20" s="42" customFormat="1" ht="45" x14ac:dyDescent="0.25">
      <c r="A127" s="51" t="s">
        <v>570</v>
      </c>
      <c r="B127" s="39" t="s">
        <v>256</v>
      </c>
      <c r="C127" s="40" t="s">
        <v>579</v>
      </c>
      <c r="D127" s="3" t="s">
        <v>123</v>
      </c>
      <c r="E127" s="30" t="s">
        <v>289</v>
      </c>
      <c r="F127" s="5" t="s">
        <v>5</v>
      </c>
      <c r="G127" s="29" t="s">
        <v>44</v>
      </c>
      <c r="H127" s="1" t="s">
        <v>389</v>
      </c>
      <c r="I127" s="5" t="s">
        <v>389</v>
      </c>
      <c r="J127" s="181">
        <v>39900</v>
      </c>
      <c r="K127" s="44"/>
      <c r="L127" s="5"/>
      <c r="M127" s="100">
        <v>0</v>
      </c>
      <c r="N127" s="70">
        <v>0</v>
      </c>
      <c r="O127" s="70">
        <f>18500</f>
        <v>18500</v>
      </c>
      <c r="P127" s="70"/>
      <c r="Q127" s="70"/>
      <c r="R127" s="55">
        <f t="shared" si="1"/>
        <v>21400</v>
      </c>
      <c r="S127" s="61">
        <v>43805</v>
      </c>
      <c r="T127" s="56"/>
    </row>
    <row r="128" spans="1:20" s="42" customFormat="1" ht="47.25" customHeight="1" x14ac:dyDescent="0.25">
      <c r="A128" s="51" t="s">
        <v>571</v>
      </c>
      <c r="B128" s="39" t="s">
        <v>257</v>
      </c>
      <c r="C128" s="40" t="s">
        <v>580</v>
      </c>
      <c r="D128" s="3" t="s">
        <v>123</v>
      </c>
      <c r="E128" s="30" t="s">
        <v>246</v>
      </c>
      <c r="F128" s="5" t="s">
        <v>4</v>
      </c>
      <c r="G128" s="29" t="s">
        <v>44</v>
      </c>
      <c r="H128" s="1" t="s">
        <v>261</v>
      </c>
      <c r="I128" s="5" t="s">
        <v>261</v>
      </c>
      <c r="J128" s="181">
        <v>39900</v>
      </c>
      <c r="K128" s="44"/>
      <c r="L128" s="5"/>
      <c r="M128" s="100">
        <v>0</v>
      </c>
      <c r="N128" s="70">
        <v>0</v>
      </c>
      <c r="O128" s="70">
        <f>2247</f>
        <v>2247</v>
      </c>
      <c r="P128" s="70"/>
      <c r="Q128" s="70"/>
      <c r="R128" s="55">
        <f t="shared" si="1"/>
        <v>37653</v>
      </c>
      <c r="S128" s="61">
        <v>43805</v>
      </c>
      <c r="T128" s="56"/>
    </row>
    <row r="129" spans="1:20" s="42" customFormat="1" ht="54" customHeight="1" x14ac:dyDescent="0.25">
      <c r="A129" s="51" t="s">
        <v>572</v>
      </c>
      <c r="B129" s="39" t="s">
        <v>243</v>
      </c>
      <c r="C129" s="40" t="s">
        <v>581</v>
      </c>
      <c r="D129" s="3" t="s">
        <v>123</v>
      </c>
      <c r="E129" s="41" t="s">
        <v>244</v>
      </c>
      <c r="F129" s="5" t="s">
        <v>5</v>
      </c>
      <c r="G129" s="29" t="s">
        <v>44</v>
      </c>
      <c r="H129" s="1" t="s">
        <v>843</v>
      </c>
      <c r="I129" s="1" t="s">
        <v>843</v>
      </c>
      <c r="J129" s="181">
        <v>39900</v>
      </c>
      <c r="K129" s="44"/>
      <c r="L129" s="5"/>
      <c r="M129" s="100">
        <v>0</v>
      </c>
      <c r="N129" s="70">
        <f>1908.36</f>
        <v>1908.36</v>
      </c>
      <c r="O129" s="70"/>
      <c r="P129" s="70"/>
      <c r="Q129" s="70"/>
      <c r="R129" s="55">
        <f t="shared" si="1"/>
        <v>37991.64</v>
      </c>
      <c r="S129" s="61">
        <v>43805</v>
      </c>
      <c r="T129" s="56"/>
    </row>
    <row r="130" spans="1:20" s="42" customFormat="1" ht="45" x14ac:dyDescent="0.25">
      <c r="A130" s="51" t="s">
        <v>573</v>
      </c>
      <c r="B130" s="39" t="s">
        <v>258</v>
      </c>
      <c r="C130" s="40" t="s">
        <v>582</v>
      </c>
      <c r="D130" s="3" t="s">
        <v>123</v>
      </c>
      <c r="E130" s="41" t="s">
        <v>250</v>
      </c>
      <c r="F130" s="5" t="s">
        <v>4</v>
      </c>
      <c r="G130" s="29" t="s">
        <v>44</v>
      </c>
      <c r="H130" s="1" t="s">
        <v>262</v>
      </c>
      <c r="I130" s="5" t="s">
        <v>262</v>
      </c>
      <c r="J130" s="181">
        <v>39900</v>
      </c>
      <c r="K130" s="44"/>
      <c r="L130" s="5"/>
      <c r="M130" s="100">
        <v>0</v>
      </c>
      <c r="N130" s="70">
        <f>530</f>
        <v>530</v>
      </c>
      <c r="O130" s="70">
        <f>1109.5+4300</f>
        <v>5409.5</v>
      </c>
      <c r="P130" s="70"/>
      <c r="Q130" s="70"/>
      <c r="R130" s="55">
        <f t="shared" si="1"/>
        <v>33960.5</v>
      </c>
      <c r="S130" s="61">
        <v>43805</v>
      </c>
      <c r="T130" s="56"/>
    </row>
    <row r="131" spans="1:20" s="42" customFormat="1" ht="30" x14ac:dyDescent="0.25">
      <c r="A131" s="1" t="s">
        <v>265</v>
      </c>
      <c r="B131" s="39" t="s">
        <v>268</v>
      </c>
      <c r="C131" s="40"/>
      <c r="D131" s="3" t="s">
        <v>123</v>
      </c>
      <c r="E131" s="41" t="s">
        <v>266</v>
      </c>
      <c r="F131" s="5" t="s">
        <v>4</v>
      </c>
      <c r="G131" s="29" t="s">
        <v>44</v>
      </c>
      <c r="H131" s="1" t="s">
        <v>267</v>
      </c>
      <c r="I131" s="5" t="s">
        <v>267</v>
      </c>
      <c r="J131" s="181">
        <v>10000</v>
      </c>
      <c r="K131" s="44"/>
      <c r="L131" s="5"/>
      <c r="M131" s="100">
        <v>0</v>
      </c>
      <c r="N131" s="70">
        <v>0</v>
      </c>
      <c r="O131" s="70"/>
      <c r="P131" s="70"/>
      <c r="Q131" s="70"/>
      <c r="R131" s="55">
        <f t="shared" si="1"/>
        <v>10000</v>
      </c>
      <c r="S131" s="61">
        <v>43809</v>
      </c>
      <c r="T131" s="56"/>
    </row>
    <row r="132" spans="1:20" s="24" customFormat="1" x14ac:dyDescent="0.25">
      <c r="A132" s="8"/>
      <c r="B132" s="16"/>
      <c r="C132" s="23"/>
      <c r="D132" s="8"/>
      <c r="E132" s="17"/>
      <c r="F132" s="16"/>
      <c r="G132" s="17"/>
      <c r="H132" s="17"/>
      <c r="I132" s="17"/>
      <c r="J132" s="184"/>
      <c r="K132" s="16"/>
      <c r="L132" s="16"/>
      <c r="M132" s="104"/>
      <c r="N132" s="104"/>
      <c r="O132" s="104"/>
      <c r="P132" s="104"/>
      <c r="Q132" s="104"/>
      <c r="R132" s="55">
        <f t="shared" si="1"/>
        <v>0</v>
      </c>
      <c r="S132" s="16"/>
      <c r="T132" s="8"/>
    </row>
    <row r="133" spans="1:20" ht="30" x14ac:dyDescent="0.25">
      <c r="A133" s="3" t="s">
        <v>271</v>
      </c>
      <c r="B133" s="5" t="s">
        <v>273</v>
      </c>
      <c r="C133" s="2"/>
      <c r="D133" s="10" t="s">
        <v>123</v>
      </c>
      <c r="E133" s="4" t="s">
        <v>272</v>
      </c>
      <c r="F133" s="37" t="s">
        <v>4</v>
      </c>
      <c r="G133" s="6" t="s">
        <v>44</v>
      </c>
      <c r="H133" s="4" t="s">
        <v>192</v>
      </c>
      <c r="I133" s="4" t="s">
        <v>192</v>
      </c>
      <c r="J133" s="180">
        <v>39900</v>
      </c>
      <c r="K133" s="5"/>
      <c r="L133" s="5"/>
      <c r="M133" s="18">
        <v>0</v>
      </c>
      <c r="N133" s="18">
        <v>0</v>
      </c>
      <c r="O133" s="18">
        <f>764+768.07+515.36+169.6+119.99+98.45+229.99+2190+1003.83+565.5+522.62+3282+448.7+617.77+13.14+25.74+535.6+1460</f>
        <v>13330.36</v>
      </c>
      <c r="P133" s="18"/>
      <c r="Q133" s="18"/>
      <c r="R133" s="55">
        <f t="shared" ref="R133:R194" si="2">J133-(M133+N133+O133+P133+Q133)</f>
        <v>26569.64</v>
      </c>
      <c r="S133" s="46">
        <v>43832</v>
      </c>
      <c r="T133" s="3"/>
    </row>
    <row r="134" spans="1:20" s="25" customFormat="1" ht="30" x14ac:dyDescent="0.25">
      <c r="A134" s="2" t="s">
        <v>277</v>
      </c>
      <c r="B134" s="5" t="s">
        <v>278</v>
      </c>
      <c r="C134" s="9"/>
      <c r="D134" s="10" t="s">
        <v>123</v>
      </c>
      <c r="E134" s="4" t="s">
        <v>276</v>
      </c>
      <c r="F134" s="1" t="s">
        <v>6</v>
      </c>
      <c r="G134" s="4" t="s">
        <v>44</v>
      </c>
      <c r="H134" s="4" t="s">
        <v>559</v>
      </c>
      <c r="I134" s="4" t="s">
        <v>559</v>
      </c>
      <c r="J134" s="178">
        <v>30000</v>
      </c>
      <c r="K134" s="105"/>
      <c r="L134" s="31">
        <v>43806</v>
      </c>
      <c r="M134" s="18">
        <f>952</f>
        <v>952</v>
      </c>
      <c r="N134" s="18">
        <v>0</v>
      </c>
      <c r="O134" s="18">
        <f>1205+792.98</f>
        <v>1997.98</v>
      </c>
      <c r="P134" s="18">
        <v>960.59</v>
      </c>
      <c r="Q134" s="18"/>
      <c r="R134" s="55">
        <f t="shared" si="2"/>
        <v>26089.43</v>
      </c>
      <c r="S134" s="32">
        <v>43832</v>
      </c>
      <c r="T134" s="3"/>
    </row>
    <row r="135" spans="1:20" s="25" customFormat="1" ht="25.5" x14ac:dyDescent="0.25">
      <c r="A135" s="2" t="s">
        <v>281</v>
      </c>
      <c r="B135" s="5" t="s">
        <v>290</v>
      </c>
      <c r="C135" s="9"/>
      <c r="D135" s="10" t="s">
        <v>123</v>
      </c>
      <c r="E135" s="4" t="s">
        <v>962</v>
      </c>
      <c r="F135" s="1" t="s">
        <v>6</v>
      </c>
      <c r="G135" s="4" t="s">
        <v>44</v>
      </c>
      <c r="H135" s="4" t="s">
        <v>744</v>
      </c>
      <c r="I135" s="4" t="s">
        <v>744</v>
      </c>
      <c r="J135" s="178">
        <v>39900</v>
      </c>
      <c r="K135" s="105"/>
      <c r="L135" s="31">
        <v>43830</v>
      </c>
      <c r="M135" s="18">
        <f>1149.48+285</f>
        <v>1434.48</v>
      </c>
      <c r="N135" s="18">
        <v>0</v>
      </c>
      <c r="O135" s="18"/>
      <c r="P135" s="18"/>
      <c r="Q135" s="18"/>
      <c r="R135" s="55">
        <f t="shared" si="2"/>
        <v>38465.519999999997</v>
      </c>
      <c r="S135" s="46">
        <v>43832</v>
      </c>
      <c r="T135" s="3"/>
    </row>
    <row r="136" spans="1:20" s="25" customFormat="1" ht="30" x14ac:dyDescent="0.25">
      <c r="A136" s="2" t="s">
        <v>291</v>
      </c>
      <c r="B136" s="5" t="s">
        <v>309</v>
      </c>
      <c r="C136" s="9"/>
      <c r="D136" s="10" t="s">
        <v>123</v>
      </c>
      <c r="E136" s="4" t="s">
        <v>279</v>
      </c>
      <c r="F136" s="1" t="s">
        <v>4</v>
      </c>
      <c r="G136" s="4" t="s">
        <v>44</v>
      </c>
      <c r="H136" s="4" t="s">
        <v>282</v>
      </c>
      <c r="I136" s="4" t="s">
        <v>282</v>
      </c>
      <c r="J136" s="178">
        <v>39900</v>
      </c>
      <c r="K136" s="105"/>
      <c r="L136" s="31"/>
      <c r="M136" s="18">
        <f>198+427+1052.89+812.57+663+460.99+968.11+198+850.85+220+748.58+1131.6+830.93+256+950.15+847.12+245+757.2+16+617.57</f>
        <v>12251.560000000001</v>
      </c>
      <c r="N136" s="18">
        <f>888.75+910.69+150+674.88</f>
        <v>2624.32</v>
      </c>
      <c r="O136" s="18">
        <f>81.15+579.7+592.48+247.54+479.95+476.86+606.84+377.75+211.48+61.48+716.11+531.15+217.21+567.46+470.1+693.66+839.1+100.82+15.57+910.84+670.65+2014.75+3269.67+45.9+707.91</f>
        <v>15486.13</v>
      </c>
      <c r="P136" s="18">
        <f>268.85</f>
        <v>268.85000000000002</v>
      </c>
      <c r="Q136" s="18"/>
      <c r="R136" s="55">
        <f t="shared" si="2"/>
        <v>9269.14</v>
      </c>
      <c r="S136" s="46">
        <v>43832</v>
      </c>
      <c r="T136" s="3"/>
    </row>
    <row r="137" spans="1:20" ht="25.5" x14ac:dyDescent="0.25">
      <c r="A137" s="2" t="s">
        <v>292</v>
      </c>
      <c r="B137" s="5" t="s">
        <v>311</v>
      </c>
      <c r="C137" s="2"/>
      <c r="D137" s="10" t="s">
        <v>123</v>
      </c>
      <c r="E137" s="4" t="s">
        <v>766</v>
      </c>
      <c r="F137" s="37" t="s">
        <v>6</v>
      </c>
      <c r="G137" s="6" t="s">
        <v>2</v>
      </c>
      <c r="H137" s="4" t="s">
        <v>310</v>
      </c>
      <c r="I137" s="4" t="s">
        <v>310</v>
      </c>
      <c r="J137" s="180">
        <v>39900</v>
      </c>
      <c r="K137" s="5"/>
      <c r="L137" s="5"/>
      <c r="M137" s="18">
        <v>0</v>
      </c>
      <c r="N137" s="18">
        <f>4440+2500</f>
        <v>6940</v>
      </c>
      <c r="O137" s="18">
        <f>1000+3205+1187.5+1156.25+1250</f>
        <v>7798.75</v>
      </c>
      <c r="P137" s="18"/>
      <c r="Q137" s="18"/>
      <c r="R137" s="55">
        <f t="shared" si="2"/>
        <v>25161.25</v>
      </c>
      <c r="S137" s="46">
        <v>43832</v>
      </c>
      <c r="T137" s="3"/>
    </row>
    <row r="138" spans="1:20" ht="90" x14ac:dyDescent="0.25">
      <c r="A138" s="2" t="s">
        <v>293</v>
      </c>
      <c r="B138" s="5" t="s">
        <v>312</v>
      </c>
      <c r="C138" s="2"/>
      <c r="D138" s="10" t="s">
        <v>123</v>
      </c>
      <c r="E138" s="4" t="s">
        <v>329</v>
      </c>
      <c r="F138" s="37" t="s">
        <v>4</v>
      </c>
      <c r="G138" s="6" t="s">
        <v>44</v>
      </c>
      <c r="H138" s="4" t="s">
        <v>700</v>
      </c>
      <c r="I138" s="4" t="s">
        <v>700</v>
      </c>
      <c r="J138" s="180">
        <v>39900</v>
      </c>
      <c r="K138" s="5"/>
      <c r="L138" s="5"/>
      <c r="M138" s="18">
        <v>0</v>
      </c>
      <c r="N138" s="18">
        <f>13.18+21.22</f>
        <v>34.4</v>
      </c>
      <c r="O138" s="18">
        <f>433.7+105.85+108.37+67.2+241.08+38.98+433.7+101.11+60.89+62.45+287.85+110.9+282.22+433.7+64.43+2.16+19.25+60.15+350+183.73+92.83</f>
        <v>3540.5499999999997</v>
      </c>
      <c r="P138" s="18">
        <f>7000</f>
        <v>7000</v>
      </c>
      <c r="Q138" s="18"/>
      <c r="R138" s="55">
        <f t="shared" si="2"/>
        <v>29325.05</v>
      </c>
      <c r="S138" s="46">
        <v>43832</v>
      </c>
      <c r="T138" s="3"/>
    </row>
    <row r="139" spans="1:20" ht="60" x14ac:dyDescent="0.25">
      <c r="A139" s="2" t="s">
        <v>294</v>
      </c>
      <c r="B139" s="5" t="s">
        <v>314</v>
      </c>
      <c r="C139" s="2"/>
      <c r="D139" s="10" t="s">
        <v>123</v>
      </c>
      <c r="E139" s="4" t="s">
        <v>283</v>
      </c>
      <c r="F139" s="37" t="s">
        <v>4</v>
      </c>
      <c r="G139" s="6" t="s">
        <v>44</v>
      </c>
      <c r="H139" s="4" t="s">
        <v>313</v>
      </c>
      <c r="I139" s="4" t="s">
        <v>558</v>
      </c>
      <c r="J139" s="180">
        <v>39900</v>
      </c>
      <c r="K139" s="5"/>
      <c r="L139" s="5"/>
      <c r="M139" s="18">
        <v>0</v>
      </c>
      <c r="N139" s="18">
        <v>0</v>
      </c>
      <c r="O139" s="18">
        <f>1097.78+1063.66+4194.56+596+1358.02+55+606.77+1446+464.06+867.65+858+127.01+259.74+560+3142.5+853.96</f>
        <v>17550.71</v>
      </c>
      <c r="P139" s="18"/>
      <c r="Q139" s="18"/>
      <c r="R139" s="55">
        <f t="shared" si="2"/>
        <v>22349.29</v>
      </c>
      <c r="S139" s="46">
        <v>43832</v>
      </c>
      <c r="T139" s="3"/>
    </row>
    <row r="140" spans="1:20" ht="60" x14ac:dyDescent="0.25">
      <c r="A140" s="2" t="s">
        <v>295</v>
      </c>
      <c r="B140" s="5" t="s">
        <v>316</v>
      </c>
      <c r="C140" s="2"/>
      <c r="D140" s="10" t="s">
        <v>123</v>
      </c>
      <c r="E140" s="4" t="s">
        <v>315</v>
      </c>
      <c r="F140" s="37" t="s">
        <v>5</v>
      </c>
      <c r="G140" s="6" t="s">
        <v>44</v>
      </c>
      <c r="H140" s="4" t="s">
        <v>838</v>
      </c>
      <c r="I140" s="4" t="s">
        <v>838</v>
      </c>
      <c r="J140" s="180">
        <v>39900</v>
      </c>
      <c r="K140" s="5"/>
      <c r="L140" s="5"/>
      <c r="M140" s="18">
        <v>0</v>
      </c>
      <c r="N140" s="18">
        <v>0</v>
      </c>
      <c r="O140" s="18">
        <f>890.22+3400</f>
        <v>4290.22</v>
      </c>
      <c r="P140" s="18"/>
      <c r="Q140" s="18"/>
      <c r="R140" s="55">
        <f t="shared" si="2"/>
        <v>35609.78</v>
      </c>
      <c r="S140" s="46">
        <v>43832</v>
      </c>
      <c r="T140" s="3"/>
    </row>
    <row r="141" spans="1:20" ht="120" customHeight="1" x14ac:dyDescent="0.25">
      <c r="A141" s="2" t="s">
        <v>296</v>
      </c>
      <c r="B141" s="5" t="s">
        <v>317</v>
      </c>
      <c r="C141" s="2"/>
      <c r="D141" s="10" t="s">
        <v>123</v>
      </c>
      <c r="E141" s="4" t="s">
        <v>586</v>
      </c>
      <c r="F141" s="37" t="s">
        <v>4</v>
      </c>
      <c r="G141" s="6" t="s">
        <v>44</v>
      </c>
      <c r="H141" s="4" t="s">
        <v>187</v>
      </c>
      <c r="I141" s="4" t="s">
        <v>188</v>
      </c>
      <c r="J141" s="180">
        <v>39900</v>
      </c>
      <c r="K141" s="5"/>
      <c r="L141" s="5"/>
      <c r="M141" s="18">
        <v>0</v>
      </c>
      <c r="N141" s="18">
        <v>0</v>
      </c>
      <c r="O141" s="18">
        <f>545.69+554.04+61.5+255.32+61.5+34+61.5+34+34+34+34+1116.75+425+30</f>
        <v>3281.3</v>
      </c>
      <c r="P141" s="18">
        <f>8+10.95+3.65+8+14.8+8+14.6+6+4+20+164.7+295.4+392.88</f>
        <v>950.9799999999999</v>
      </c>
      <c r="Q141" s="18"/>
      <c r="R141" s="55">
        <f t="shared" si="2"/>
        <v>35667.72</v>
      </c>
      <c r="S141" s="46">
        <v>43832</v>
      </c>
      <c r="T141" s="3"/>
    </row>
    <row r="142" spans="1:20" ht="48" customHeight="1" x14ac:dyDescent="0.25">
      <c r="A142" s="2" t="s">
        <v>297</v>
      </c>
      <c r="B142" s="5" t="s">
        <v>320</v>
      </c>
      <c r="C142" s="2"/>
      <c r="D142" s="10" t="s">
        <v>123</v>
      </c>
      <c r="E142" s="4" t="s">
        <v>288</v>
      </c>
      <c r="F142" s="37" t="s">
        <v>4</v>
      </c>
      <c r="G142" s="6" t="s">
        <v>44</v>
      </c>
      <c r="H142" s="4" t="s">
        <v>318</v>
      </c>
      <c r="I142" s="4" t="s">
        <v>319</v>
      </c>
      <c r="J142" s="180">
        <v>25000</v>
      </c>
      <c r="K142" s="5"/>
      <c r="L142" s="5"/>
      <c r="M142" s="18">
        <v>0</v>
      </c>
      <c r="N142" s="18">
        <v>0</v>
      </c>
      <c r="O142" s="18">
        <f>74.35+479.21+19.89+477.6</f>
        <v>1051.05</v>
      </c>
      <c r="P142" s="18"/>
      <c r="Q142" s="18"/>
      <c r="R142" s="55">
        <f t="shared" si="2"/>
        <v>23948.95</v>
      </c>
      <c r="S142" s="46">
        <v>43832</v>
      </c>
      <c r="T142" s="3"/>
    </row>
    <row r="143" spans="1:20" s="99" customFormat="1" ht="25.5" x14ac:dyDescent="0.25">
      <c r="A143" s="81" t="s">
        <v>298</v>
      </c>
      <c r="B143" s="92" t="s">
        <v>321</v>
      </c>
      <c r="C143" s="81"/>
      <c r="D143" s="84" t="s">
        <v>123</v>
      </c>
      <c r="E143" s="93" t="s">
        <v>862</v>
      </c>
      <c r="F143" s="94" t="s">
        <v>5</v>
      </c>
      <c r="G143" s="95" t="s">
        <v>44</v>
      </c>
      <c r="H143" s="93" t="s">
        <v>171</v>
      </c>
      <c r="I143" s="93" t="s">
        <v>171</v>
      </c>
      <c r="J143" s="185">
        <v>39900</v>
      </c>
      <c r="K143" s="92"/>
      <c r="L143" s="92"/>
      <c r="M143" s="97">
        <v>0</v>
      </c>
      <c r="N143" s="97">
        <v>0</v>
      </c>
      <c r="O143" s="97">
        <f>1190</f>
        <v>1190</v>
      </c>
      <c r="P143" s="97">
        <f>3870</f>
        <v>3870</v>
      </c>
      <c r="Q143" s="97">
        <f>800</f>
        <v>800</v>
      </c>
      <c r="R143" s="55">
        <f t="shared" si="2"/>
        <v>34040</v>
      </c>
      <c r="S143" s="98">
        <v>43832</v>
      </c>
      <c r="T143" s="110" t="s">
        <v>1106</v>
      </c>
    </row>
    <row r="144" spans="1:20" s="99" customFormat="1" ht="105" x14ac:dyDescent="0.25">
      <c r="A144" s="81" t="s">
        <v>299</v>
      </c>
      <c r="B144" s="92" t="s">
        <v>322</v>
      </c>
      <c r="C144" s="81"/>
      <c r="D144" s="84" t="s">
        <v>123</v>
      </c>
      <c r="E144" s="93" t="s">
        <v>703</v>
      </c>
      <c r="F144" s="94" t="s">
        <v>6</v>
      </c>
      <c r="G144" s="95" t="s">
        <v>44</v>
      </c>
      <c r="H144" s="93" t="s">
        <v>704</v>
      </c>
      <c r="I144" s="93" t="s">
        <v>704</v>
      </c>
      <c r="J144" s="185">
        <v>39900</v>
      </c>
      <c r="K144" s="85"/>
      <c r="L144" s="92"/>
      <c r="M144" s="97">
        <v>0</v>
      </c>
      <c r="N144" s="97">
        <v>0</v>
      </c>
      <c r="O144" s="97">
        <f>2860</f>
        <v>2860</v>
      </c>
      <c r="P144" s="97">
        <f>630+1200+1300+1900</f>
        <v>5030</v>
      </c>
      <c r="Q144" s="97"/>
      <c r="R144" s="55">
        <f t="shared" si="2"/>
        <v>32010</v>
      </c>
      <c r="S144" s="98">
        <v>43832</v>
      </c>
      <c r="T144" s="110"/>
    </row>
    <row r="145" spans="1:20" s="99" customFormat="1" ht="25.5" x14ac:dyDescent="0.25">
      <c r="A145" s="81" t="s">
        <v>300</v>
      </c>
      <c r="B145" s="92" t="s">
        <v>323</v>
      </c>
      <c r="C145" s="81"/>
      <c r="D145" s="84" t="s">
        <v>123</v>
      </c>
      <c r="E145" s="93" t="s">
        <v>284</v>
      </c>
      <c r="F145" s="94" t="s">
        <v>4</v>
      </c>
      <c r="G145" s="95" t="s">
        <v>44</v>
      </c>
      <c r="H145" s="93" t="s">
        <v>122</v>
      </c>
      <c r="I145" s="93" t="s">
        <v>122</v>
      </c>
      <c r="J145" s="185">
        <v>39900</v>
      </c>
      <c r="K145" s="92"/>
      <c r="L145" s="92"/>
      <c r="M145" s="97">
        <v>0</v>
      </c>
      <c r="N145" s="97">
        <v>0</v>
      </c>
      <c r="O145" s="97">
        <f>1819.04+2072.86+1990.54+1880.78+1963.1+2066+2011.12+2251.22</f>
        <v>16054.659999999998</v>
      </c>
      <c r="P145" s="97">
        <f>2182.62</f>
        <v>2182.62</v>
      </c>
      <c r="Q145" s="97"/>
      <c r="R145" s="55">
        <f t="shared" si="2"/>
        <v>21662.720000000001</v>
      </c>
      <c r="S145" s="98">
        <v>43832</v>
      </c>
      <c r="T145" s="110"/>
    </row>
    <row r="146" spans="1:20" ht="30" x14ac:dyDescent="0.25">
      <c r="A146" s="2" t="s">
        <v>301</v>
      </c>
      <c r="B146" s="5" t="s">
        <v>324</v>
      </c>
      <c r="C146" s="2"/>
      <c r="D146" s="10" t="s">
        <v>123</v>
      </c>
      <c r="E146" s="4" t="s">
        <v>285</v>
      </c>
      <c r="F146" s="5" t="s">
        <v>6</v>
      </c>
      <c r="G146" s="4" t="s">
        <v>44</v>
      </c>
      <c r="H146" s="4" t="s">
        <v>182</v>
      </c>
      <c r="I146" s="4" t="s">
        <v>182</v>
      </c>
      <c r="J146" s="180">
        <v>39900</v>
      </c>
      <c r="K146" s="5"/>
      <c r="L146" s="5"/>
      <c r="M146" s="97">
        <v>0</v>
      </c>
      <c r="N146" s="97">
        <v>0</v>
      </c>
      <c r="O146" s="18">
        <f>342.26+461.5+4050</f>
        <v>4853.76</v>
      </c>
      <c r="P146" s="18">
        <f>130</f>
        <v>130</v>
      </c>
      <c r="Q146" s="18"/>
      <c r="R146" s="55">
        <f t="shared" si="2"/>
        <v>34916.239999999998</v>
      </c>
      <c r="S146" s="46">
        <v>43832</v>
      </c>
      <c r="T146" s="3"/>
    </row>
    <row r="147" spans="1:20" ht="45" x14ac:dyDescent="0.25">
      <c r="A147" s="2" t="s">
        <v>302</v>
      </c>
      <c r="B147" s="5" t="s">
        <v>325</v>
      </c>
      <c r="C147" s="2"/>
      <c r="D147" s="10" t="s">
        <v>123</v>
      </c>
      <c r="E147" s="4" t="s">
        <v>286</v>
      </c>
      <c r="F147" s="5" t="s">
        <v>6</v>
      </c>
      <c r="G147" s="4" t="s">
        <v>44</v>
      </c>
      <c r="H147" s="4" t="s">
        <v>701</v>
      </c>
      <c r="I147" s="4" t="s">
        <v>701</v>
      </c>
      <c r="J147" s="180">
        <v>39900</v>
      </c>
      <c r="K147" s="5"/>
      <c r="L147" s="5"/>
      <c r="M147" s="97">
        <v>0</v>
      </c>
      <c r="N147" s="97">
        <v>0</v>
      </c>
      <c r="O147" s="18">
        <f>438.5+215.74+970+131.4+900+900+208.47</f>
        <v>3764.11</v>
      </c>
      <c r="P147" s="18">
        <f>138+900+900</f>
        <v>1938</v>
      </c>
      <c r="Q147" s="18"/>
      <c r="R147" s="55">
        <f t="shared" si="2"/>
        <v>34197.89</v>
      </c>
      <c r="S147" s="46">
        <v>43832</v>
      </c>
      <c r="T147" s="3"/>
    </row>
    <row r="148" spans="1:20" s="19" customFormat="1" ht="45" x14ac:dyDescent="0.25">
      <c r="A148" s="2" t="s">
        <v>303</v>
      </c>
      <c r="B148" s="11" t="s">
        <v>326</v>
      </c>
      <c r="C148" s="11"/>
      <c r="D148" s="10" t="s">
        <v>123</v>
      </c>
      <c r="E148" s="4" t="s">
        <v>533</v>
      </c>
      <c r="F148" s="5" t="s">
        <v>5</v>
      </c>
      <c r="G148" s="6" t="s">
        <v>189</v>
      </c>
      <c r="H148" s="4" t="s">
        <v>534</v>
      </c>
      <c r="I148" s="4" t="s">
        <v>534</v>
      </c>
      <c r="J148" s="180">
        <v>39900</v>
      </c>
      <c r="K148" s="5"/>
      <c r="L148" s="5"/>
      <c r="M148" s="97">
        <v>0</v>
      </c>
      <c r="N148" s="97">
        <v>0</v>
      </c>
      <c r="O148" s="18">
        <f>618+168.99+5863.87+6828.92+1300+930</f>
        <v>15709.779999999999</v>
      </c>
      <c r="P148" s="18"/>
      <c r="Q148" s="18"/>
      <c r="R148" s="55">
        <f t="shared" si="2"/>
        <v>24190.22</v>
      </c>
      <c r="S148" s="46">
        <v>43832</v>
      </c>
      <c r="T148" s="4"/>
    </row>
    <row r="149" spans="1:20" s="19" customFormat="1" ht="25.5" x14ac:dyDescent="0.25">
      <c r="A149" s="2" t="s">
        <v>304</v>
      </c>
      <c r="B149" s="11" t="s">
        <v>327</v>
      </c>
      <c r="C149" s="11"/>
      <c r="D149" s="10" t="s">
        <v>123</v>
      </c>
      <c r="E149" s="4" t="s">
        <v>287</v>
      </c>
      <c r="F149" s="5" t="s">
        <v>6</v>
      </c>
      <c r="G149" s="6" t="s">
        <v>189</v>
      </c>
      <c r="H149" s="4" t="s">
        <v>191</v>
      </c>
      <c r="I149" s="11" t="s">
        <v>191</v>
      </c>
      <c r="J149" s="180">
        <v>39900</v>
      </c>
      <c r="K149" s="5"/>
      <c r="L149" s="5"/>
      <c r="M149" s="97">
        <v>0</v>
      </c>
      <c r="N149" s="97">
        <v>0</v>
      </c>
      <c r="O149" s="18"/>
      <c r="P149" s="18"/>
      <c r="Q149" s="18"/>
      <c r="R149" s="55">
        <f t="shared" si="2"/>
        <v>39900</v>
      </c>
      <c r="S149" s="46">
        <v>43832</v>
      </c>
      <c r="T149" s="4"/>
    </row>
    <row r="150" spans="1:20" ht="30" x14ac:dyDescent="0.25">
      <c r="A150" s="2" t="s">
        <v>305</v>
      </c>
      <c r="B150" s="5" t="s">
        <v>328</v>
      </c>
      <c r="C150" s="2"/>
      <c r="D150" s="10" t="s">
        <v>123</v>
      </c>
      <c r="E150" s="4" t="s">
        <v>275</v>
      </c>
      <c r="F150" s="5" t="s">
        <v>6</v>
      </c>
      <c r="G150" s="6" t="s">
        <v>44</v>
      </c>
      <c r="H150" s="4" t="s">
        <v>828</v>
      </c>
      <c r="I150" s="11" t="s">
        <v>828</v>
      </c>
      <c r="J150" s="180">
        <v>39900</v>
      </c>
      <c r="K150" s="5"/>
      <c r="L150" s="5"/>
      <c r="M150" s="97">
        <v>0</v>
      </c>
      <c r="N150" s="97">
        <v>0</v>
      </c>
      <c r="O150" s="18">
        <f>1248+1560</f>
        <v>2808</v>
      </c>
      <c r="P150" s="18">
        <v>1530.42</v>
      </c>
      <c r="Q150" s="18">
        <f>10929.34</f>
        <v>10929.34</v>
      </c>
      <c r="R150" s="55">
        <f t="shared" si="2"/>
        <v>24632.239999999998</v>
      </c>
      <c r="S150" s="46">
        <v>43832</v>
      </c>
      <c r="T150" s="3" t="s">
        <v>1051</v>
      </c>
    </row>
    <row r="151" spans="1:20" ht="30" x14ac:dyDescent="0.25">
      <c r="A151" s="2" t="s">
        <v>306</v>
      </c>
      <c r="B151" s="5" t="s">
        <v>280</v>
      </c>
      <c r="C151" s="2"/>
      <c r="D151" s="10" t="s">
        <v>123</v>
      </c>
      <c r="E151" s="4" t="s">
        <v>994</v>
      </c>
      <c r="F151" s="5" t="s">
        <v>5</v>
      </c>
      <c r="G151" s="4" t="s">
        <v>44</v>
      </c>
      <c r="H151" s="4" t="s">
        <v>55</v>
      </c>
      <c r="I151" s="11" t="s">
        <v>55</v>
      </c>
      <c r="J151" s="180">
        <v>39900</v>
      </c>
      <c r="K151" s="5"/>
      <c r="L151" s="5"/>
      <c r="M151" s="18">
        <v>0</v>
      </c>
      <c r="N151" s="97">
        <v>0</v>
      </c>
      <c r="O151" s="18"/>
      <c r="P151" s="18"/>
      <c r="Q151" s="18">
        <f>3200</f>
        <v>3200</v>
      </c>
      <c r="R151" s="55">
        <f t="shared" si="2"/>
        <v>36700</v>
      </c>
      <c r="S151" s="46">
        <v>43832</v>
      </c>
      <c r="T151" s="3" t="s">
        <v>1125</v>
      </c>
    </row>
    <row r="152" spans="1:20" ht="45" x14ac:dyDescent="0.25">
      <c r="A152" s="2" t="s">
        <v>307</v>
      </c>
      <c r="B152" s="28" t="s">
        <v>528</v>
      </c>
      <c r="C152" s="9"/>
      <c r="D152" s="10" t="s">
        <v>123</v>
      </c>
      <c r="E152" s="3" t="s">
        <v>526</v>
      </c>
      <c r="F152" s="1" t="s">
        <v>6</v>
      </c>
      <c r="G152" s="4" t="s">
        <v>44</v>
      </c>
      <c r="H152" s="35" t="s">
        <v>527</v>
      </c>
      <c r="I152" s="35" t="s">
        <v>527</v>
      </c>
      <c r="J152" s="178">
        <v>39900</v>
      </c>
      <c r="K152" s="105"/>
      <c r="L152" s="31">
        <v>43830</v>
      </c>
      <c r="M152" s="7">
        <f>4273.8+300</f>
        <v>4573.8</v>
      </c>
      <c r="N152" s="97">
        <v>0</v>
      </c>
      <c r="O152" s="7">
        <f>4500</f>
        <v>4500</v>
      </c>
      <c r="P152" s="7">
        <f>4500</f>
        <v>4500</v>
      </c>
      <c r="Q152" s="7"/>
      <c r="R152" s="55">
        <f t="shared" si="2"/>
        <v>26326.2</v>
      </c>
      <c r="S152" s="46">
        <v>43838</v>
      </c>
      <c r="T152" s="3"/>
    </row>
    <row r="153" spans="1:20" ht="25.5" x14ac:dyDescent="0.25">
      <c r="A153" s="2" t="s">
        <v>308</v>
      </c>
      <c r="B153" s="5" t="s">
        <v>532</v>
      </c>
      <c r="C153" s="2"/>
      <c r="D153" s="10" t="s">
        <v>123</v>
      </c>
      <c r="E153" s="3" t="s">
        <v>531</v>
      </c>
      <c r="F153" s="5" t="s">
        <v>5</v>
      </c>
      <c r="G153" s="29" t="s">
        <v>44</v>
      </c>
      <c r="H153" s="4" t="s">
        <v>530</v>
      </c>
      <c r="I153" s="4" t="s">
        <v>530</v>
      </c>
      <c r="J153" s="180">
        <v>39900</v>
      </c>
      <c r="K153" s="5"/>
      <c r="L153" s="5"/>
      <c r="M153" s="7">
        <v>0</v>
      </c>
      <c r="N153" s="97">
        <v>0</v>
      </c>
      <c r="O153" s="7">
        <v>230</v>
      </c>
      <c r="P153" s="7"/>
      <c r="Q153" s="7"/>
      <c r="R153" s="55">
        <f t="shared" si="2"/>
        <v>39670</v>
      </c>
      <c r="S153" s="46">
        <v>43844</v>
      </c>
      <c r="T153" s="3"/>
    </row>
    <row r="154" spans="1:20" ht="45" x14ac:dyDescent="0.25">
      <c r="A154" s="2" t="s">
        <v>524</v>
      </c>
      <c r="B154" s="5" t="s">
        <v>536</v>
      </c>
      <c r="C154" s="2"/>
      <c r="D154" s="10" t="s">
        <v>123</v>
      </c>
      <c r="E154" s="4" t="s">
        <v>535</v>
      </c>
      <c r="F154" s="5" t="s">
        <v>6</v>
      </c>
      <c r="G154" s="3" t="s">
        <v>615</v>
      </c>
      <c r="H154" s="4" t="s">
        <v>846</v>
      </c>
      <c r="I154" s="4" t="s">
        <v>846</v>
      </c>
      <c r="J154" s="180">
        <v>39900</v>
      </c>
      <c r="K154" s="5"/>
      <c r="L154" s="5"/>
      <c r="M154" s="7">
        <v>0</v>
      </c>
      <c r="N154" s="97">
        <v>0</v>
      </c>
      <c r="O154" s="18"/>
      <c r="P154" s="18">
        <f>16900+16900</f>
        <v>33800</v>
      </c>
      <c r="Q154" s="18"/>
      <c r="R154" s="55">
        <f t="shared" si="2"/>
        <v>6100</v>
      </c>
      <c r="S154" s="46">
        <v>43861</v>
      </c>
      <c r="T154" s="3"/>
    </row>
    <row r="155" spans="1:20" s="33" customFormat="1" ht="45" x14ac:dyDescent="0.2">
      <c r="A155" s="2" t="s">
        <v>525</v>
      </c>
      <c r="B155" s="5" t="s">
        <v>538</v>
      </c>
      <c r="C155" s="2" t="s">
        <v>702</v>
      </c>
      <c r="D155" s="10" t="s">
        <v>123</v>
      </c>
      <c r="E155" s="4" t="s">
        <v>537</v>
      </c>
      <c r="F155" s="5" t="s">
        <v>6</v>
      </c>
      <c r="G155" s="3" t="s">
        <v>615</v>
      </c>
      <c r="H155" s="4" t="s">
        <v>826</v>
      </c>
      <c r="I155" s="4" t="s">
        <v>826</v>
      </c>
      <c r="J155" s="180">
        <v>39900</v>
      </c>
      <c r="K155" s="5"/>
      <c r="L155" s="5"/>
      <c r="M155" s="7">
        <v>0</v>
      </c>
      <c r="N155" s="97">
        <v>0</v>
      </c>
      <c r="O155" s="18">
        <f>20163.8</f>
        <v>20163.8</v>
      </c>
      <c r="P155" s="18">
        <v>21274.05</v>
      </c>
      <c r="Q155" s="18"/>
      <c r="R155" s="55">
        <f t="shared" si="2"/>
        <v>-1537.8499999999985</v>
      </c>
      <c r="S155" s="46">
        <v>43861</v>
      </c>
      <c r="T155" s="3"/>
    </row>
    <row r="156" spans="1:20" ht="45" x14ac:dyDescent="0.25">
      <c r="A156" s="2" t="s">
        <v>563</v>
      </c>
      <c r="B156" s="5" t="s">
        <v>561</v>
      </c>
      <c r="C156" s="2"/>
      <c r="D156" s="10" t="s">
        <v>123</v>
      </c>
      <c r="E156" s="4" t="s">
        <v>560</v>
      </c>
      <c r="F156" s="5" t="s">
        <v>4</v>
      </c>
      <c r="G156" s="3" t="s">
        <v>44</v>
      </c>
      <c r="H156" s="4" t="s">
        <v>809</v>
      </c>
      <c r="I156" s="4" t="s">
        <v>809</v>
      </c>
      <c r="J156" s="180">
        <v>39900</v>
      </c>
      <c r="K156" s="5"/>
      <c r="L156" s="5"/>
      <c r="M156" s="11"/>
      <c r="N156" s="97"/>
      <c r="O156" s="11">
        <f>1150+240+111.2+670</f>
        <v>2171.1999999999998</v>
      </c>
      <c r="P156" s="11">
        <f>2340+90+1000</f>
        <v>3430</v>
      </c>
      <c r="Q156" s="11"/>
      <c r="R156" s="55">
        <f t="shared" si="2"/>
        <v>34298.800000000003</v>
      </c>
      <c r="S156" s="46">
        <v>43959</v>
      </c>
      <c r="T156" s="3"/>
    </row>
    <row r="157" spans="1:20" ht="60" x14ac:dyDescent="0.25">
      <c r="A157" s="2" t="s">
        <v>583</v>
      </c>
      <c r="B157" s="5" t="s">
        <v>584</v>
      </c>
      <c r="C157" s="2"/>
      <c r="D157" s="10" t="s">
        <v>123</v>
      </c>
      <c r="E157" s="4" t="s">
        <v>585</v>
      </c>
      <c r="F157" s="5" t="s">
        <v>4</v>
      </c>
      <c r="G157" s="3" t="s">
        <v>44</v>
      </c>
      <c r="H157" s="4" t="s">
        <v>838</v>
      </c>
      <c r="I157" s="4" t="s">
        <v>838</v>
      </c>
      <c r="J157" s="180">
        <v>39900</v>
      </c>
      <c r="K157" s="5"/>
      <c r="L157" s="5"/>
      <c r="M157" s="11"/>
      <c r="N157" s="11"/>
      <c r="O157" s="11">
        <f>980+980+920+661.41+8819.2+6090</f>
        <v>18450.61</v>
      </c>
      <c r="P157" s="11"/>
      <c r="Q157" s="11"/>
      <c r="R157" s="55">
        <f t="shared" si="2"/>
        <v>21449.39</v>
      </c>
      <c r="S157" s="46">
        <v>43991</v>
      </c>
      <c r="T157" s="3"/>
    </row>
    <row r="158" spans="1:20" ht="25.5" x14ac:dyDescent="0.25">
      <c r="A158" s="2" t="s">
        <v>587</v>
      </c>
      <c r="B158" s="5" t="s">
        <v>590</v>
      </c>
      <c r="C158" s="2"/>
      <c r="D158" s="10" t="s">
        <v>123</v>
      </c>
      <c r="E158" s="4" t="s">
        <v>589</v>
      </c>
      <c r="F158" s="5" t="s">
        <v>6</v>
      </c>
      <c r="G158" s="3" t="s">
        <v>44</v>
      </c>
      <c r="H158" s="11" t="s">
        <v>1005</v>
      </c>
      <c r="I158" s="11" t="s">
        <v>1005</v>
      </c>
      <c r="J158" s="180">
        <v>20000</v>
      </c>
      <c r="K158" s="5"/>
      <c r="L158" s="5"/>
      <c r="M158" s="11"/>
      <c r="N158" s="11"/>
      <c r="O158" s="11"/>
      <c r="P158" s="11">
        <f>2250</f>
        <v>2250</v>
      </c>
      <c r="Q158" s="11">
        <f>428</f>
        <v>428</v>
      </c>
      <c r="R158" s="55">
        <f t="shared" si="2"/>
        <v>17322</v>
      </c>
      <c r="S158" s="46">
        <v>43998</v>
      </c>
      <c r="T158" s="3" t="s">
        <v>1034</v>
      </c>
    </row>
    <row r="159" spans="1:20" ht="75" x14ac:dyDescent="0.25">
      <c r="A159" s="2" t="s">
        <v>591</v>
      </c>
      <c r="B159" s="5" t="s">
        <v>593</v>
      </c>
      <c r="C159" s="2"/>
      <c r="D159" s="10" t="s">
        <v>123</v>
      </c>
      <c r="E159" s="4" t="s">
        <v>592</v>
      </c>
      <c r="F159" s="37" t="s">
        <v>4</v>
      </c>
      <c r="G159" s="6" t="s">
        <v>44</v>
      </c>
      <c r="H159" s="4" t="s">
        <v>621</v>
      </c>
      <c r="I159" s="4" t="s">
        <v>621</v>
      </c>
      <c r="J159" s="180">
        <v>39900</v>
      </c>
      <c r="K159" s="5"/>
      <c r="L159" s="5"/>
      <c r="M159" s="18">
        <v>0</v>
      </c>
      <c r="N159" s="18">
        <f>467.51</f>
        <v>467.51</v>
      </c>
      <c r="O159" s="18">
        <f>1117.36+5318.43+1576.53+1286.85+1326.02+1550.4+467.51+3377.31+3910.49+1043+1003.2+415.42+488.25+3230.16+1110.27+1518.18</f>
        <v>28739.38</v>
      </c>
      <c r="P159" s="18"/>
      <c r="Q159" s="18"/>
      <c r="R159" s="55">
        <f t="shared" si="2"/>
        <v>10693.11</v>
      </c>
      <c r="S159" s="46">
        <v>44007</v>
      </c>
      <c r="T159" s="3"/>
    </row>
    <row r="160" spans="1:20" ht="75" x14ac:dyDescent="0.25">
      <c r="A160" s="2" t="s">
        <v>595</v>
      </c>
      <c r="B160" s="5" t="s">
        <v>600</v>
      </c>
      <c r="C160" s="2"/>
      <c r="D160" s="10" t="s">
        <v>123</v>
      </c>
      <c r="E160" s="4" t="s">
        <v>599</v>
      </c>
      <c r="F160" s="5" t="s">
        <v>5</v>
      </c>
      <c r="G160" s="6" t="s">
        <v>189</v>
      </c>
      <c r="H160" s="4" t="s">
        <v>839</v>
      </c>
      <c r="I160" s="4" t="s">
        <v>839</v>
      </c>
      <c r="J160" s="180">
        <v>39900</v>
      </c>
      <c r="K160" s="5"/>
      <c r="L160" s="5"/>
      <c r="M160" s="11"/>
      <c r="N160" s="11"/>
      <c r="O160" s="11">
        <f>2781.25+5405.22+525+3114.06+4842.02+2365.22+286+824.87</f>
        <v>20143.640000000003</v>
      </c>
      <c r="P160" s="11"/>
      <c r="Q160" s="11"/>
      <c r="R160" s="55">
        <f t="shared" si="2"/>
        <v>19756.359999999997</v>
      </c>
      <c r="S160" s="46">
        <v>44021</v>
      </c>
      <c r="T160" s="3"/>
    </row>
    <row r="161" spans="1:20" s="99" customFormat="1" ht="25.5" x14ac:dyDescent="0.25">
      <c r="A161" s="81" t="s">
        <v>753</v>
      </c>
      <c r="B161" s="92" t="s">
        <v>613</v>
      </c>
      <c r="C161" s="81" t="s">
        <v>816</v>
      </c>
      <c r="D161" s="84" t="s">
        <v>123</v>
      </c>
      <c r="E161" s="93" t="s">
        <v>754</v>
      </c>
      <c r="F161" s="92" t="s">
        <v>5</v>
      </c>
      <c r="G161" s="95" t="s">
        <v>2</v>
      </c>
      <c r="H161" s="93" t="s">
        <v>756</v>
      </c>
      <c r="I161" s="93" t="s">
        <v>756</v>
      </c>
      <c r="J161" s="185">
        <v>132500</v>
      </c>
      <c r="K161" s="92"/>
      <c r="L161" s="92"/>
      <c r="M161" s="96"/>
      <c r="N161" s="96"/>
      <c r="O161" s="96"/>
      <c r="P161" s="96">
        <f>62825.27</f>
        <v>62825.27</v>
      </c>
      <c r="Q161" s="96"/>
      <c r="R161" s="55">
        <f t="shared" si="2"/>
        <v>69674.73000000001</v>
      </c>
      <c r="S161" s="98"/>
      <c r="T161" s="110"/>
    </row>
    <row r="162" spans="1:20" s="99" customFormat="1" ht="30" x14ac:dyDescent="0.25">
      <c r="A162" s="81" t="s">
        <v>596</v>
      </c>
      <c r="B162" s="92" t="s">
        <v>603</v>
      </c>
      <c r="C162" s="81"/>
      <c r="D162" s="84" t="s">
        <v>123</v>
      </c>
      <c r="E162" s="93" t="s">
        <v>602</v>
      </c>
      <c r="F162" s="92" t="s">
        <v>6</v>
      </c>
      <c r="G162" s="93" t="s">
        <v>2</v>
      </c>
      <c r="H162" s="93" t="s">
        <v>690</v>
      </c>
      <c r="I162" s="93" t="s">
        <v>690</v>
      </c>
      <c r="J162" s="185">
        <v>39900</v>
      </c>
      <c r="K162" s="92"/>
      <c r="L162" s="92"/>
      <c r="M162" s="96"/>
      <c r="N162" s="96"/>
      <c r="O162" s="96"/>
      <c r="P162" s="96">
        <f>1500+750+1500+1500</f>
        <v>5250</v>
      </c>
      <c r="Q162" s="96"/>
      <c r="R162" s="55">
        <f t="shared" si="2"/>
        <v>34650</v>
      </c>
      <c r="S162" s="98">
        <v>44040</v>
      </c>
      <c r="T162" s="110"/>
    </row>
    <row r="163" spans="1:20" s="99" customFormat="1" ht="45" x14ac:dyDescent="0.25">
      <c r="A163" s="81" t="s">
        <v>601</v>
      </c>
      <c r="B163" s="92" t="s">
        <v>604</v>
      </c>
      <c r="C163" s="81"/>
      <c r="D163" s="84" t="s">
        <v>123</v>
      </c>
      <c r="E163" s="93" t="s">
        <v>793</v>
      </c>
      <c r="F163" s="92" t="s">
        <v>6</v>
      </c>
      <c r="G163" s="93" t="s">
        <v>2</v>
      </c>
      <c r="H163" s="93" t="s">
        <v>872</v>
      </c>
      <c r="I163" s="93" t="s">
        <v>872</v>
      </c>
      <c r="J163" s="185">
        <v>39900</v>
      </c>
      <c r="K163" s="92"/>
      <c r="L163" s="92"/>
      <c r="M163" s="96"/>
      <c r="N163" s="96"/>
      <c r="O163" s="96">
        <f>150+180+1200</f>
        <v>1530</v>
      </c>
      <c r="P163" s="96">
        <f>400+3550+1200+1150+1200+1200</f>
        <v>8700</v>
      </c>
      <c r="Q163" s="96"/>
      <c r="R163" s="55">
        <f t="shared" si="2"/>
        <v>29670</v>
      </c>
      <c r="S163" s="98">
        <v>44040</v>
      </c>
      <c r="T163" s="110"/>
    </row>
    <row r="164" spans="1:20" s="99" customFormat="1" ht="30" x14ac:dyDescent="0.25">
      <c r="A164" s="81" t="s">
        <v>605</v>
      </c>
      <c r="B164" s="92" t="s">
        <v>607</v>
      </c>
      <c r="C164" s="81"/>
      <c r="D164" s="84" t="s">
        <v>123</v>
      </c>
      <c r="E164" s="93" t="s">
        <v>608</v>
      </c>
      <c r="F164" s="92" t="s">
        <v>6</v>
      </c>
      <c r="G164" s="93" t="s">
        <v>2</v>
      </c>
      <c r="H164" s="93" t="s">
        <v>609</v>
      </c>
      <c r="I164" s="96" t="s">
        <v>609</v>
      </c>
      <c r="J164" s="185">
        <v>39900</v>
      </c>
      <c r="K164" s="92"/>
      <c r="L164" s="92"/>
      <c r="M164" s="96"/>
      <c r="N164" s="96"/>
      <c r="O164" s="96"/>
      <c r="P164" s="96"/>
      <c r="Q164" s="96"/>
      <c r="R164" s="55">
        <f t="shared" si="2"/>
        <v>39900</v>
      </c>
      <c r="S164" s="98"/>
      <c r="T164" s="110"/>
    </row>
    <row r="165" spans="1:20" s="99" customFormat="1" ht="25.5" x14ac:dyDescent="0.25">
      <c r="A165" s="81" t="s">
        <v>606</v>
      </c>
      <c r="B165" s="92" t="s">
        <v>755</v>
      </c>
      <c r="C165" s="81"/>
      <c r="D165" s="84" t="s">
        <v>123</v>
      </c>
      <c r="E165" s="93" t="s">
        <v>611</v>
      </c>
      <c r="F165" s="92" t="s">
        <v>6</v>
      </c>
      <c r="G165" s="93" t="s">
        <v>612</v>
      </c>
      <c r="H165" s="93" t="s">
        <v>99</v>
      </c>
      <c r="I165" s="93" t="s">
        <v>99</v>
      </c>
      <c r="J165" s="185">
        <v>110347</v>
      </c>
      <c r="K165" s="92"/>
      <c r="L165" s="92"/>
      <c r="M165" s="96"/>
      <c r="N165" s="96"/>
      <c r="O165" s="96"/>
      <c r="P165" s="96"/>
      <c r="Q165" s="96"/>
      <c r="R165" s="55">
        <f t="shared" si="2"/>
        <v>110347</v>
      </c>
      <c r="S165" s="98">
        <v>44042</v>
      </c>
      <c r="T165" s="110"/>
    </row>
    <row r="166" spans="1:20" s="99" customFormat="1" ht="25.5" x14ac:dyDescent="0.25">
      <c r="A166" s="81" t="s">
        <v>610</v>
      </c>
      <c r="B166" s="92" t="s">
        <v>618</v>
      </c>
      <c r="C166" s="81"/>
      <c r="D166" s="84" t="s">
        <v>123</v>
      </c>
      <c r="E166" s="93" t="s">
        <v>617</v>
      </c>
      <c r="F166" s="92" t="s">
        <v>5</v>
      </c>
      <c r="G166" s="110" t="s">
        <v>44</v>
      </c>
      <c r="H166" s="93" t="s">
        <v>616</v>
      </c>
      <c r="I166" s="96" t="s">
        <v>616</v>
      </c>
      <c r="J166" s="185">
        <v>39900</v>
      </c>
      <c r="K166" s="92"/>
      <c r="L166" s="92"/>
      <c r="M166" s="96"/>
      <c r="N166" s="96"/>
      <c r="O166" s="96"/>
      <c r="P166" s="96">
        <f>1360+1478+515</f>
        <v>3353</v>
      </c>
      <c r="Q166" s="96"/>
      <c r="R166" s="55">
        <f t="shared" si="2"/>
        <v>36547</v>
      </c>
      <c r="S166" s="98">
        <v>44042</v>
      </c>
      <c r="T166" s="110"/>
    </row>
    <row r="167" spans="1:20" s="99" customFormat="1" ht="30" x14ac:dyDescent="0.25">
      <c r="A167" s="81" t="s">
        <v>623</v>
      </c>
      <c r="B167" s="92" t="s">
        <v>619</v>
      </c>
      <c r="C167" s="81"/>
      <c r="D167" s="84" t="s">
        <v>123</v>
      </c>
      <c r="E167" s="197" t="s">
        <v>91</v>
      </c>
      <c r="F167" s="94" t="s">
        <v>6</v>
      </c>
      <c r="G167" s="192" t="s">
        <v>44</v>
      </c>
      <c r="H167" s="93" t="s">
        <v>92</v>
      </c>
      <c r="I167" s="93" t="s">
        <v>92</v>
      </c>
      <c r="J167" s="185">
        <v>20000</v>
      </c>
      <c r="K167" s="92"/>
      <c r="L167" s="92"/>
      <c r="M167" s="96"/>
      <c r="N167" s="96"/>
      <c r="O167" s="96">
        <f>2370+2160+2310+2880+2190</f>
        <v>11910</v>
      </c>
      <c r="P167" s="96">
        <f>2610+2160+720</f>
        <v>5490</v>
      </c>
      <c r="Q167" s="96"/>
      <c r="R167" s="55">
        <f t="shared" si="2"/>
        <v>2600</v>
      </c>
      <c r="S167" s="85" t="s">
        <v>620</v>
      </c>
      <c r="T167" s="110"/>
    </row>
    <row r="168" spans="1:20" ht="90" x14ac:dyDescent="0.25">
      <c r="A168" s="2" t="s">
        <v>624</v>
      </c>
      <c r="B168" s="5" t="s">
        <v>625</v>
      </c>
      <c r="C168" s="2"/>
      <c r="D168" s="10" t="s">
        <v>123</v>
      </c>
      <c r="E168" s="4" t="s">
        <v>622</v>
      </c>
      <c r="F168" s="5" t="s">
        <v>5</v>
      </c>
      <c r="G168" s="3" t="s">
        <v>44</v>
      </c>
      <c r="H168" s="4" t="s">
        <v>840</v>
      </c>
      <c r="I168" s="4" t="s">
        <v>840</v>
      </c>
      <c r="J168" s="180">
        <v>39900</v>
      </c>
      <c r="K168" s="5"/>
      <c r="L168" s="5"/>
      <c r="M168" s="11"/>
      <c r="N168" s="11"/>
      <c r="O168" s="11">
        <f>765+7380+2240+2440+530</f>
        <v>13355</v>
      </c>
      <c r="P168" s="11">
        <f>510+530+1160+480+820</f>
        <v>3500</v>
      </c>
      <c r="Q168" s="11"/>
      <c r="R168" s="55">
        <f t="shared" si="2"/>
        <v>23045</v>
      </c>
      <c r="S168" s="46">
        <v>44076</v>
      </c>
      <c r="T168" s="3"/>
    </row>
    <row r="169" spans="1:20" ht="45" x14ac:dyDescent="0.25">
      <c r="A169" s="2" t="s">
        <v>626</v>
      </c>
      <c r="B169" s="5" t="s">
        <v>627</v>
      </c>
      <c r="C169" s="2" t="s">
        <v>633</v>
      </c>
      <c r="D169" s="10" t="s">
        <v>123</v>
      </c>
      <c r="E169" s="4" t="s">
        <v>632</v>
      </c>
      <c r="F169" s="37" t="s">
        <v>6</v>
      </c>
      <c r="G169" s="29" t="s">
        <v>44</v>
      </c>
      <c r="H169" s="4" t="s">
        <v>45</v>
      </c>
      <c r="I169" s="11" t="s">
        <v>45</v>
      </c>
      <c r="J169" s="180">
        <v>39900</v>
      </c>
      <c r="K169" s="5"/>
      <c r="L169" s="5"/>
      <c r="M169" s="11"/>
      <c r="N169" s="11"/>
      <c r="O169" s="11"/>
      <c r="P169" s="11">
        <f>4892.16+1300+1300</f>
        <v>7492.16</v>
      </c>
      <c r="Q169" s="11"/>
      <c r="R169" s="55">
        <f t="shared" si="2"/>
        <v>32407.84</v>
      </c>
      <c r="S169" s="46">
        <v>44085</v>
      </c>
      <c r="T169" s="3"/>
    </row>
    <row r="170" spans="1:20" ht="75" x14ac:dyDescent="0.25">
      <c r="A170" s="2" t="s">
        <v>634</v>
      </c>
      <c r="B170" s="5" t="s">
        <v>636</v>
      </c>
      <c r="C170" s="125" t="s">
        <v>641</v>
      </c>
      <c r="D170" s="10" t="s">
        <v>123</v>
      </c>
      <c r="E170" s="4" t="s">
        <v>659</v>
      </c>
      <c r="F170" s="5" t="s">
        <v>4</v>
      </c>
      <c r="G170" s="29" t="s">
        <v>44</v>
      </c>
      <c r="H170" s="4" t="s">
        <v>844</v>
      </c>
      <c r="I170" s="4" t="s">
        <v>844</v>
      </c>
      <c r="J170" s="180">
        <v>39900</v>
      </c>
      <c r="K170" s="5"/>
      <c r="L170" s="5"/>
      <c r="M170" s="11"/>
      <c r="N170" s="11"/>
      <c r="O170" s="11">
        <f>8074.51+714.44+1377.77+1038+1775.62+363.11+3904.8+725.59+1501.34</f>
        <v>19475.18</v>
      </c>
      <c r="P170" s="11">
        <f>2350+4504.92</f>
        <v>6854.92</v>
      </c>
      <c r="Q170" s="11"/>
      <c r="R170" s="55">
        <f t="shared" si="2"/>
        <v>13569.900000000001</v>
      </c>
      <c r="S170" s="46">
        <v>44109</v>
      </c>
      <c r="T170" s="175"/>
    </row>
    <row r="171" spans="1:20" ht="30" x14ac:dyDescent="0.25">
      <c r="A171" s="2" t="s">
        <v>635</v>
      </c>
      <c r="B171" s="5" t="s">
        <v>637</v>
      </c>
      <c r="C171" s="125" t="s">
        <v>641</v>
      </c>
      <c r="D171" s="10" t="s">
        <v>123</v>
      </c>
      <c r="E171" s="4" t="s">
        <v>660</v>
      </c>
      <c r="F171" s="5" t="s">
        <v>5</v>
      </c>
      <c r="G171" s="29" t="s">
        <v>44</v>
      </c>
      <c r="H171" s="4" t="s">
        <v>663</v>
      </c>
      <c r="I171" s="4" t="s">
        <v>663</v>
      </c>
      <c r="J171" s="180">
        <v>39900</v>
      </c>
      <c r="K171" s="5"/>
      <c r="L171" s="5"/>
      <c r="M171" s="11"/>
      <c r="N171" s="11"/>
      <c r="O171" s="11"/>
      <c r="P171" s="11">
        <f>39303.67</f>
        <v>39303.67</v>
      </c>
      <c r="Q171" s="11"/>
      <c r="R171" s="55">
        <f t="shared" si="2"/>
        <v>596.33000000000175</v>
      </c>
      <c r="S171" s="46">
        <v>44109</v>
      </c>
      <c r="T171" s="3"/>
    </row>
    <row r="172" spans="1:20" ht="30" x14ac:dyDescent="0.25">
      <c r="A172" s="2" t="s">
        <v>639</v>
      </c>
      <c r="B172" s="5" t="s">
        <v>667</v>
      </c>
      <c r="C172" s="125" t="s">
        <v>641</v>
      </c>
      <c r="D172" s="10" t="s">
        <v>123</v>
      </c>
      <c r="E172" s="4" t="s">
        <v>666</v>
      </c>
      <c r="F172" s="5" t="s">
        <v>6</v>
      </c>
      <c r="G172" s="29" t="s">
        <v>44</v>
      </c>
      <c r="H172" s="4" t="s">
        <v>45</v>
      </c>
      <c r="I172" s="4" t="s">
        <v>45</v>
      </c>
      <c r="J172" s="180">
        <v>39900</v>
      </c>
      <c r="K172" s="5"/>
      <c r="L172" s="5"/>
      <c r="M172" s="11"/>
      <c r="N172" s="11"/>
      <c r="O172" s="11"/>
      <c r="P172" s="11">
        <f>3867.24</f>
        <v>3867.24</v>
      </c>
      <c r="Q172" s="11"/>
      <c r="R172" s="55">
        <f t="shared" si="2"/>
        <v>36032.76</v>
      </c>
      <c r="S172" s="46">
        <v>44117</v>
      </c>
      <c r="T172" s="3"/>
    </row>
    <row r="173" spans="1:20" ht="30" x14ac:dyDescent="0.25">
      <c r="A173" s="2" t="s">
        <v>642</v>
      </c>
      <c r="B173" s="20" t="s">
        <v>675</v>
      </c>
      <c r="C173" s="125" t="s">
        <v>641</v>
      </c>
      <c r="D173" s="10" t="s">
        <v>123</v>
      </c>
      <c r="E173" s="4" t="s">
        <v>677</v>
      </c>
      <c r="F173" s="5" t="s">
        <v>5</v>
      </c>
      <c r="G173" s="29" t="s">
        <v>44</v>
      </c>
      <c r="H173" s="4" t="s">
        <v>678</v>
      </c>
      <c r="I173" s="4" t="s">
        <v>678</v>
      </c>
      <c r="J173" s="180">
        <v>39900</v>
      </c>
      <c r="K173" s="5"/>
      <c r="L173" s="5"/>
      <c r="M173" s="11"/>
      <c r="N173" s="11"/>
      <c r="O173" s="11"/>
      <c r="P173" s="11">
        <f>5581</f>
        <v>5581</v>
      </c>
      <c r="Q173" s="11"/>
      <c r="R173" s="55">
        <f t="shared" si="2"/>
        <v>34319</v>
      </c>
      <c r="S173" s="5"/>
      <c r="T173" s="3"/>
    </row>
    <row r="174" spans="1:20" ht="30" x14ac:dyDescent="0.25">
      <c r="A174" s="2" t="s">
        <v>643</v>
      </c>
      <c r="B174" s="5" t="s">
        <v>656</v>
      </c>
      <c r="C174" s="2" t="s">
        <v>671</v>
      </c>
      <c r="D174" s="10" t="s">
        <v>123</v>
      </c>
      <c r="E174" s="4" t="s">
        <v>657</v>
      </c>
      <c r="F174" s="5" t="s">
        <v>4</v>
      </c>
      <c r="G174" s="29" t="s">
        <v>640</v>
      </c>
      <c r="H174" s="4" t="s">
        <v>845</v>
      </c>
      <c r="I174" s="4" t="s">
        <v>845</v>
      </c>
      <c r="J174" s="180">
        <v>39900</v>
      </c>
      <c r="K174" s="5"/>
      <c r="L174" s="5"/>
      <c r="M174" s="11"/>
      <c r="N174" s="11"/>
      <c r="O174" s="11">
        <f>970</f>
        <v>970</v>
      </c>
      <c r="P174" s="11">
        <f>8125.18+18858.04</f>
        <v>26983.22</v>
      </c>
      <c r="Q174" s="11"/>
      <c r="R174" s="55">
        <f t="shared" si="2"/>
        <v>11946.779999999999</v>
      </c>
      <c r="S174" s="46">
        <v>44113</v>
      </c>
      <c r="T174" s="3"/>
    </row>
    <row r="175" spans="1:20" ht="60" x14ac:dyDescent="0.25">
      <c r="A175" s="2" t="s">
        <v>644</v>
      </c>
      <c r="B175" s="5" t="s">
        <v>646</v>
      </c>
      <c r="C175" s="2" t="s">
        <v>661</v>
      </c>
      <c r="D175" s="10" t="s">
        <v>123</v>
      </c>
      <c r="E175" s="4" t="s">
        <v>647</v>
      </c>
      <c r="F175" s="5" t="s">
        <v>4</v>
      </c>
      <c r="G175" s="29" t="s">
        <v>640</v>
      </c>
      <c r="H175" s="4" t="s">
        <v>680</v>
      </c>
      <c r="I175" s="4" t="s">
        <v>680</v>
      </c>
      <c r="J175" s="180">
        <v>39900</v>
      </c>
      <c r="K175" s="5"/>
      <c r="L175" s="5"/>
      <c r="M175" s="11"/>
      <c r="N175" s="11"/>
      <c r="O175" s="11">
        <f>612+1697.5+3225.86+3031.5</f>
        <v>8566.86</v>
      </c>
      <c r="P175" s="11"/>
      <c r="Q175" s="11"/>
      <c r="R175" s="55">
        <f t="shared" si="2"/>
        <v>31333.14</v>
      </c>
      <c r="S175" s="46">
        <v>44113</v>
      </c>
      <c r="T175" s="3"/>
    </row>
    <row r="176" spans="1:20" ht="30" x14ac:dyDescent="0.25">
      <c r="A176" s="2" t="s">
        <v>645</v>
      </c>
      <c r="B176" s="5" t="s">
        <v>650</v>
      </c>
      <c r="C176" s="2" t="s">
        <v>662</v>
      </c>
      <c r="D176" s="10" t="s">
        <v>123</v>
      </c>
      <c r="E176" s="4" t="s">
        <v>648</v>
      </c>
      <c r="F176" s="5" t="s">
        <v>6</v>
      </c>
      <c r="G176" s="29" t="s">
        <v>640</v>
      </c>
      <c r="H176" s="4" t="s">
        <v>651</v>
      </c>
      <c r="I176" s="4" t="s">
        <v>651</v>
      </c>
      <c r="J176" s="180">
        <v>39900</v>
      </c>
      <c r="K176" s="5"/>
      <c r="L176" s="5"/>
      <c r="M176" s="11"/>
      <c r="N176" s="11"/>
      <c r="O176" s="11"/>
      <c r="P176" s="11"/>
      <c r="Q176" s="11"/>
      <c r="R176" s="55">
        <f t="shared" si="2"/>
        <v>39900</v>
      </c>
      <c r="S176" s="46">
        <v>44113</v>
      </c>
      <c r="T176" s="3"/>
    </row>
    <row r="177" spans="1:20" ht="30" x14ac:dyDescent="0.25">
      <c r="A177" s="2" t="s">
        <v>672</v>
      </c>
      <c r="B177" s="5" t="s">
        <v>652</v>
      </c>
      <c r="C177" s="2" t="s">
        <v>662</v>
      </c>
      <c r="D177" s="10" t="s">
        <v>123</v>
      </c>
      <c r="E177" s="4" t="s">
        <v>649</v>
      </c>
      <c r="F177" s="5" t="s">
        <v>5</v>
      </c>
      <c r="G177" s="29" t="s">
        <v>640</v>
      </c>
      <c r="H177" s="4" t="s">
        <v>389</v>
      </c>
      <c r="I177" s="4" t="s">
        <v>389</v>
      </c>
      <c r="J177" s="180">
        <v>39900</v>
      </c>
      <c r="K177" s="5"/>
      <c r="L177" s="5"/>
      <c r="M177" s="11"/>
      <c r="N177" s="11"/>
      <c r="O177" s="11"/>
      <c r="P177" s="11">
        <f>1013.45</f>
        <v>1013.45</v>
      </c>
      <c r="Q177" s="11"/>
      <c r="R177" s="55">
        <f t="shared" si="2"/>
        <v>38886.550000000003</v>
      </c>
      <c r="S177" s="46">
        <v>44113</v>
      </c>
      <c r="T177" s="3"/>
    </row>
    <row r="178" spans="1:20" ht="30" x14ac:dyDescent="0.25">
      <c r="A178" s="2" t="s">
        <v>673</v>
      </c>
      <c r="B178" s="5" t="s">
        <v>653</v>
      </c>
      <c r="C178" s="2" t="s">
        <v>664</v>
      </c>
      <c r="D178" s="10" t="s">
        <v>123</v>
      </c>
      <c r="E178" s="4" t="s">
        <v>658</v>
      </c>
      <c r="F178" s="5" t="s">
        <v>5</v>
      </c>
      <c r="G178" s="29" t="s">
        <v>640</v>
      </c>
      <c r="H178" s="4" t="s">
        <v>679</v>
      </c>
      <c r="I178" s="4" t="s">
        <v>679</v>
      </c>
      <c r="J178" s="180">
        <v>39900</v>
      </c>
      <c r="K178" s="5"/>
      <c r="L178" s="5"/>
      <c r="M178" s="11"/>
      <c r="N178" s="11"/>
      <c r="O178" s="11">
        <f>6300</f>
        <v>6300</v>
      </c>
      <c r="P178" s="11">
        <f>670+7620</f>
        <v>8290</v>
      </c>
      <c r="Q178" s="11"/>
      <c r="R178" s="55">
        <f t="shared" si="2"/>
        <v>25310</v>
      </c>
      <c r="S178" s="46">
        <v>44113</v>
      </c>
      <c r="T178" s="3"/>
    </row>
    <row r="179" spans="1:20" ht="30" x14ac:dyDescent="0.25">
      <c r="A179" s="2" t="s">
        <v>674</v>
      </c>
      <c r="B179" s="5" t="s">
        <v>655</v>
      </c>
      <c r="C179" s="2" t="s">
        <v>665</v>
      </c>
      <c r="D179" s="10" t="s">
        <v>123</v>
      </c>
      <c r="E179" s="4" t="s">
        <v>654</v>
      </c>
      <c r="F179" s="5" t="s">
        <v>5</v>
      </c>
      <c r="G179" s="29" t="s">
        <v>640</v>
      </c>
      <c r="H179" s="4" t="s">
        <v>841</v>
      </c>
      <c r="I179" s="4" t="s">
        <v>841</v>
      </c>
      <c r="J179" s="180">
        <v>39900</v>
      </c>
      <c r="K179" s="5"/>
      <c r="L179" s="5"/>
      <c r="M179" s="11"/>
      <c r="N179" s="11"/>
      <c r="O179" s="11">
        <f>744.93</f>
        <v>744.93</v>
      </c>
      <c r="P179" s="11"/>
      <c r="Q179" s="11"/>
      <c r="R179" s="55">
        <f t="shared" si="2"/>
        <v>39155.07</v>
      </c>
      <c r="S179" s="46">
        <v>44113</v>
      </c>
      <c r="T179" s="3"/>
    </row>
    <row r="180" spans="1:20" ht="45" x14ac:dyDescent="0.25">
      <c r="A180" s="2" t="s">
        <v>676</v>
      </c>
      <c r="B180" s="5" t="s">
        <v>670</v>
      </c>
      <c r="C180" s="2" t="s">
        <v>669</v>
      </c>
      <c r="D180" s="10" t="s">
        <v>123</v>
      </c>
      <c r="E180" s="4" t="s">
        <v>668</v>
      </c>
      <c r="F180" s="5" t="s">
        <v>6</v>
      </c>
      <c r="G180" s="29" t="s">
        <v>640</v>
      </c>
      <c r="H180" s="4" t="s">
        <v>45</v>
      </c>
      <c r="I180" s="4" t="s">
        <v>45</v>
      </c>
      <c r="J180" s="180">
        <v>39900</v>
      </c>
      <c r="K180" s="5"/>
      <c r="L180" s="5"/>
      <c r="M180" s="11"/>
      <c r="N180" s="11"/>
      <c r="O180" s="11"/>
      <c r="P180" s="11"/>
      <c r="Q180" s="11"/>
      <c r="R180" s="55">
        <f t="shared" si="2"/>
        <v>39900</v>
      </c>
      <c r="S180" s="46">
        <v>44117</v>
      </c>
      <c r="T180" s="3"/>
    </row>
    <row r="181" spans="1:20" ht="25.5" x14ac:dyDescent="0.25">
      <c r="A181" s="2" t="s">
        <v>681</v>
      </c>
      <c r="B181" s="5" t="s">
        <v>683</v>
      </c>
      <c r="C181" s="2"/>
      <c r="D181" s="10" t="s">
        <v>123</v>
      </c>
      <c r="E181" s="4" t="s">
        <v>682</v>
      </c>
      <c r="F181" s="5" t="s">
        <v>4</v>
      </c>
      <c r="G181" s="29" t="s">
        <v>44</v>
      </c>
      <c r="H181" s="4" t="s">
        <v>89</v>
      </c>
      <c r="I181" s="4" t="s">
        <v>89</v>
      </c>
      <c r="J181" s="180">
        <v>39900</v>
      </c>
      <c r="K181" s="5"/>
      <c r="L181" s="5"/>
      <c r="M181" s="11"/>
      <c r="N181" s="11"/>
      <c r="O181" s="11"/>
      <c r="P181" s="11">
        <f>511.36+880+384+352+880+95+1561.6+880+556.8+880+390.4+384+880+542.72</f>
        <v>9177.8799999999992</v>
      </c>
      <c r="Q181" s="11"/>
      <c r="R181" s="55">
        <f t="shared" si="2"/>
        <v>30722.120000000003</v>
      </c>
      <c r="S181" s="46">
        <v>44151</v>
      </c>
      <c r="T181" s="3"/>
    </row>
    <row r="182" spans="1:20" ht="30" x14ac:dyDescent="0.25">
      <c r="A182" s="2" t="s">
        <v>686</v>
      </c>
      <c r="B182" s="5" t="s">
        <v>688</v>
      </c>
      <c r="C182" s="2"/>
      <c r="D182" s="10" t="s">
        <v>123</v>
      </c>
      <c r="E182" s="4" t="s">
        <v>684</v>
      </c>
      <c r="F182" s="5" t="s">
        <v>6</v>
      </c>
      <c r="G182" s="4" t="s">
        <v>44</v>
      </c>
      <c r="H182" s="4" t="s">
        <v>935</v>
      </c>
      <c r="I182" s="4" t="s">
        <v>935</v>
      </c>
      <c r="J182" s="180">
        <v>39900</v>
      </c>
      <c r="K182" s="5"/>
      <c r="L182" s="5"/>
      <c r="M182" s="97"/>
      <c r="N182" s="97"/>
      <c r="O182" s="18"/>
      <c r="P182" s="18">
        <f>2865.21+1908+100+482.56+6221.11</f>
        <v>11576.880000000001</v>
      </c>
      <c r="Q182" s="18"/>
      <c r="R182" s="55">
        <f t="shared" si="2"/>
        <v>28323.119999999999</v>
      </c>
      <c r="S182" s="46">
        <v>44152</v>
      </c>
      <c r="T182" s="3"/>
    </row>
    <row r="183" spans="1:20" ht="30" x14ac:dyDescent="0.25">
      <c r="A183" s="2" t="s">
        <v>687</v>
      </c>
      <c r="B183" s="5" t="s">
        <v>689</v>
      </c>
      <c r="C183" s="2"/>
      <c r="D183" s="10" t="s">
        <v>123</v>
      </c>
      <c r="E183" s="4" t="s">
        <v>685</v>
      </c>
      <c r="F183" s="5" t="s">
        <v>6</v>
      </c>
      <c r="G183" s="4" t="s">
        <v>44</v>
      </c>
      <c r="H183" s="4" t="s">
        <v>598</v>
      </c>
      <c r="I183" s="4" t="s">
        <v>598</v>
      </c>
      <c r="J183" s="180">
        <v>39900</v>
      </c>
      <c r="K183" s="5"/>
      <c r="L183" s="5"/>
      <c r="M183" s="97"/>
      <c r="N183" s="97"/>
      <c r="O183" s="18"/>
      <c r="P183" s="18">
        <f>1022.4+519.8+136.8+959.4+337.46+380+3980+1639.4+591.5+1022.4+1611.77+587.65+610.38+88.8</f>
        <v>13487.759999999998</v>
      </c>
      <c r="Q183" s="18">
        <f>900+900</f>
        <v>1800</v>
      </c>
      <c r="R183" s="55">
        <f t="shared" si="2"/>
        <v>24612.240000000002</v>
      </c>
      <c r="S183" s="46">
        <v>44152</v>
      </c>
      <c r="T183" s="3" t="s">
        <v>1032</v>
      </c>
    </row>
    <row r="184" spans="1:20" ht="45" x14ac:dyDescent="0.25">
      <c r="A184" s="2" t="s">
        <v>691</v>
      </c>
      <c r="B184" s="5" t="s">
        <v>693</v>
      </c>
      <c r="C184" s="2"/>
      <c r="D184" s="10" t="s">
        <v>123</v>
      </c>
      <c r="E184" s="41" t="s">
        <v>692</v>
      </c>
      <c r="F184" s="5" t="s">
        <v>6</v>
      </c>
      <c r="G184" s="4" t="s">
        <v>44</v>
      </c>
      <c r="H184" s="4" t="s">
        <v>588</v>
      </c>
      <c r="I184" s="4" t="s">
        <v>588</v>
      </c>
      <c r="J184" s="180">
        <v>39900</v>
      </c>
      <c r="K184" s="5"/>
      <c r="L184" s="5"/>
      <c r="M184" s="97"/>
      <c r="N184" s="97"/>
      <c r="O184" s="18"/>
      <c r="P184" s="18">
        <f>2500</f>
        <v>2500</v>
      </c>
      <c r="Q184" s="18">
        <f>32952+2745</f>
        <v>35697</v>
      </c>
      <c r="R184" s="55">
        <f t="shared" si="2"/>
        <v>1703</v>
      </c>
      <c r="S184" s="46">
        <v>44162</v>
      </c>
      <c r="T184" s="3" t="s">
        <v>1115</v>
      </c>
    </row>
    <row r="185" spans="1:20" s="42" customFormat="1" ht="30" x14ac:dyDescent="0.25">
      <c r="A185" s="2" t="s">
        <v>695</v>
      </c>
      <c r="B185" s="39" t="s">
        <v>698</v>
      </c>
      <c r="C185" s="40"/>
      <c r="D185" s="3" t="s">
        <v>123</v>
      </c>
      <c r="E185" s="41" t="s">
        <v>696</v>
      </c>
      <c r="F185" s="5" t="s">
        <v>4</v>
      </c>
      <c r="G185" s="29" t="s">
        <v>44</v>
      </c>
      <c r="H185" s="1" t="s">
        <v>697</v>
      </c>
      <c r="I185" s="1" t="s">
        <v>707</v>
      </c>
      <c r="J185" s="181">
        <v>10000</v>
      </c>
      <c r="K185" s="44"/>
      <c r="L185" s="5"/>
      <c r="M185" s="100">
        <v>0</v>
      </c>
      <c r="N185" s="70">
        <v>0</v>
      </c>
      <c r="O185" s="70"/>
      <c r="P185" s="70"/>
      <c r="Q185" s="70"/>
      <c r="R185" s="55">
        <f t="shared" si="2"/>
        <v>10000</v>
      </c>
      <c r="S185" s="61">
        <v>43809</v>
      </c>
      <c r="T185" s="56"/>
    </row>
    <row r="186" spans="1:20" s="42" customFormat="1" ht="30" x14ac:dyDescent="0.25">
      <c r="A186" s="2" t="s">
        <v>705</v>
      </c>
      <c r="B186" s="39" t="s">
        <v>708</v>
      </c>
      <c r="C186" s="40" t="s">
        <v>724</v>
      </c>
      <c r="D186" s="3" t="s">
        <v>123</v>
      </c>
      <c r="E186" s="41" t="s">
        <v>723</v>
      </c>
      <c r="F186" s="5" t="s">
        <v>5</v>
      </c>
      <c r="G186" s="29" t="s">
        <v>44</v>
      </c>
      <c r="H186" s="1" t="s">
        <v>706</v>
      </c>
      <c r="I186" s="1" t="s">
        <v>706</v>
      </c>
      <c r="J186" s="181">
        <v>39900</v>
      </c>
      <c r="K186" s="44"/>
      <c r="L186" s="5"/>
      <c r="M186" s="100"/>
      <c r="N186" s="70"/>
      <c r="O186" s="70"/>
      <c r="P186" s="70">
        <f>27017.49+7674.08</f>
        <v>34691.57</v>
      </c>
      <c r="Q186" s="70"/>
      <c r="R186" s="55">
        <f t="shared" si="2"/>
        <v>5208.43</v>
      </c>
      <c r="S186" s="61">
        <v>44186</v>
      </c>
      <c r="T186" s="56"/>
    </row>
    <row r="187" spans="1:20" s="225" customFormat="1" ht="30" x14ac:dyDescent="0.25">
      <c r="A187" s="211" t="s">
        <v>709</v>
      </c>
      <c r="B187" s="212" t="s">
        <v>867</v>
      </c>
      <c r="C187" s="213" t="s">
        <v>724</v>
      </c>
      <c r="D187" s="214" t="s">
        <v>123</v>
      </c>
      <c r="E187" s="215" t="s">
        <v>712</v>
      </c>
      <c r="F187" s="216" t="s">
        <v>5</v>
      </c>
      <c r="G187" s="217" t="s">
        <v>44</v>
      </c>
      <c r="H187" s="218"/>
      <c r="I187" s="218"/>
      <c r="J187" s="219">
        <v>39900</v>
      </c>
      <c r="K187" s="220"/>
      <c r="L187" s="216"/>
      <c r="M187" s="221"/>
      <c r="N187" s="222"/>
      <c r="O187" s="222"/>
      <c r="P187" s="222"/>
      <c r="Q187" s="222"/>
      <c r="R187" s="55">
        <f t="shared" si="2"/>
        <v>39900</v>
      </c>
      <c r="S187" s="223">
        <v>44188</v>
      </c>
      <c r="T187" s="224" t="s">
        <v>870</v>
      </c>
    </row>
    <row r="188" spans="1:20" s="42" customFormat="1" ht="30" x14ac:dyDescent="0.25">
      <c r="A188" s="2" t="s">
        <v>710</v>
      </c>
      <c r="B188" s="39" t="s">
        <v>725</v>
      </c>
      <c r="C188" s="40" t="s">
        <v>724</v>
      </c>
      <c r="D188" s="3" t="s">
        <v>123</v>
      </c>
      <c r="E188" s="41" t="s">
        <v>714</v>
      </c>
      <c r="F188" s="5" t="s">
        <v>5</v>
      </c>
      <c r="G188" s="29" t="s">
        <v>44</v>
      </c>
      <c r="H188" s="228"/>
      <c r="I188" s="228"/>
      <c r="J188" s="181">
        <v>39900</v>
      </c>
      <c r="K188" s="44"/>
      <c r="L188" s="5"/>
      <c r="M188" s="100"/>
      <c r="N188" s="70"/>
      <c r="O188" s="70"/>
      <c r="P188" s="70"/>
      <c r="Q188" s="70"/>
      <c r="R188" s="55">
        <f t="shared" si="2"/>
        <v>39900</v>
      </c>
      <c r="S188" s="61">
        <v>44188</v>
      </c>
      <c r="T188" s="56"/>
    </row>
    <row r="189" spans="1:20" s="42" customFormat="1" ht="30" x14ac:dyDescent="0.25">
      <c r="A189" s="2" t="s">
        <v>711</v>
      </c>
      <c r="B189" s="39" t="s">
        <v>726</v>
      </c>
      <c r="C189" s="40" t="s">
        <v>724</v>
      </c>
      <c r="D189" s="3" t="s">
        <v>123</v>
      </c>
      <c r="E189" s="41" t="s">
        <v>715</v>
      </c>
      <c r="F189" s="5" t="s">
        <v>5</v>
      </c>
      <c r="G189" s="29" t="s">
        <v>44</v>
      </c>
      <c r="H189" s="228"/>
      <c r="I189" s="228"/>
      <c r="J189" s="181">
        <v>39900</v>
      </c>
      <c r="K189" s="44"/>
      <c r="L189" s="5"/>
      <c r="M189" s="100"/>
      <c r="N189" s="70"/>
      <c r="O189" s="70"/>
      <c r="P189" s="70"/>
      <c r="Q189" s="70"/>
      <c r="R189" s="55">
        <f t="shared" si="2"/>
        <v>39900</v>
      </c>
      <c r="S189" s="61">
        <v>44188</v>
      </c>
      <c r="T189" s="56"/>
    </row>
    <row r="190" spans="1:20" s="42" customFormat="1" ht="30" x14ac:dyDescent="0.25">
      <c r="A190" s="2" t="s">
        <v>713</v>
      </c>
      <c r="B190" s="39" t="s">
        <v>727</v>
      </c>
      <c r="C190" s="40" t="s">
        <v>724</v>
      </c>
      <c r="D190" s="3" t="s">
        <v>123</v>
      </c>
      <c r="E190" s="41" t="s">
        <v>716</v>
      </c>
      <c r="F190" s="5" t="s">
        <v>5</v>
      </c>
      <c r="G190" s="29" t="s">
        <v>44</v>
      </c>
      <c r="H190" s="228"/>
      <c r="I190" s="228"/>
      <c r="J190" s="181">
        <v>39900</v>
      </c>
      <c r="K190" s="44"/>
      <c r="L190" s="5"/>
      <c r="M190" s="100"/>
      <c r="N190" s="70"/>
      <c r="O190" s="70"/>
      <c r="P190" s="70"/>
      <c r="Q190" s="70"/>
      <c r="R190" s="55">
        <f t="shared" si="2"/>
        <v>39900</v>
      </c>
      <c r="S190" s="61">
        <v>44188</v>
      </c>
      <c r="T190" s="56"/>
    </row>
    <row r="191" spans="1:20" s="42" customFormat="1" ht="30" x14ac:dyDescent="0.25">
      <c r="A191" s="2" t="s">
        <v>719</v>
      </c>
      <c r="B191" s="39" t="s">
        <v>728</v>
      </c>
      <c r="C191" s="40" t="s">
        <v>724</v>
      </c>
      <c r="D191" s="3" t="s">
        <v>123</v>
      </c>
      <c r="E191" s="41" t="s">
        <v>717</v>
      </c>
      <c r="F191" s="5" t="s">
        <v>5</v>
      </c>
      <c r="G191" s="29" t="s">
        <v>44</v>
      </c>
      <c r="H191" s="1" t="s">
        <v>18</v>
      </c>
      <c r="I191" s="1" t="s">
        <v>18</v>
      </c>
      <c r="J191" s="181">
        <v>39900</v>
      </c>
      <c r="K191" s="44"/>
      <c r="L191" s="5"/>
      <c r="M191" s="100"/>
      <c r="N191" s="70"/>
      <c r="O191" s="70">
        <f>496</f>
        <v>496</v>
      </c>
      <c r="P191" s="70">
        <f>3441.92+6812.31</f>
        <v>10254.23</v>
      </c>
      <c r="Q191" s="70"/>
      <c r="R191" s="55">
        <f t="shared" si="2"/>
        <v>29149.77</v>
      </c>
      <c r="S191" s="61">
        <v>44188</v>
      </c>
      <c r="T191" s="56"/>
    </row>
    <row r="192" spans="1:20" s="42" customFormat="1" ht="30" x14ac:dyDescent="0.25">
      <c r="A192" s="126" t="s">
        <v>720</v>
      </c>
      <c r="B192" s="127" t="s">
        <v>729</v>
      </c>
      <c r="C192" s="128" t="s">
        <v>724</v>
      </c>
      <c r="D192" s="129" t="s">
        <v>123</v>
      </c>
      <c r="E192" s="130" t="s">
        <v>718</v>
      </c>
      <c r="F192" s="131" t="s">
        <v>5</v>
      </c>
      <c r="G192" s="132" t="s">
        <v>44</v>
      </c>
      <c r="H192" s="1" t="s">
        <v>18</v>
      </c>
      <c r="I192" s="1" t="s">
        <v>18</v>
      </c>
      <c r="J192" s="186">
        <v>39900</v>
      </c>
      <c r="K192" s="133"/>
      <c r="L192" s="131"/>
      <c r="M192" s="134"/>
      <c r="N192" s="135"/>
      <c r="O192" s="135">
        <f>434</f>
        <v>434</v>
      </c>
      <c r="P192" s="135">
        <f>3088.9+997.62+14287.87</f>
        <v>18374.39</v>
      </c>
      <c r="Q192" s="135"/>
      <c r="R192" s="55">
        <f t="shared" si="2"/>
        <v>21091.61</v>
      </c>
      <c r="S192" s="136">
        <v>44188</v>
      </c>
      <c r="T192" s="56"/>
    </row>
    <row r="193" spans="1:20" s="159" customFormat="1" ht="30.75" thickBot="1" x14ac:dyDescent="0.3">
      <c r="A193" s="147" t="s">
        <v>721</v>
      </c>
      <c r="B193" s="148" t="s">
        <v>731</v>
      </c>
      <c r="C193" s="149" t="s">
        <v>730</v>
      </c>
      <c r="D193" s="150" t="s">
        <v>123</v>
      </c>
      <c r="E193" s="151" t="s">
        <v>722</v>
      </c>
      <c r="F193" s="152" t="s">
        <v>5</v>
      </c>
      <c r="G193" s="153" t="s">
        <v>44</v>
      </c>
      <c r="H193" s="154" t="s">
        <v>804</v>
      </c>
      <c r="I193" s="154" t="s">
        <v>804</v>
      </c>
      <c r="J193" s="187">
        <v>39900</v>
      </c>
      <c r="K193" s="155"/>
      <c r="L193" s="152"/>
      <c r="M193" s="156"/>
      <c r="N193" s="157"/>
      <c r="O193" s="157"/>
      <c r="P193" s="157">
        <f>1717.61+3420</f>
        <v>5137.6099999999997</v>
      </c>
      <c r="Q193" s="135"/>
      <c r="R193" s="55">
        <f t="shared" si="2"/>
        <v>34762.39</v>
      </c>
      <c r="S193" s="158">
        <v>44188</v>
      </c>
      <c r="T193" s="56"/>
    </row>
    <row r="194" spans="1:20" s="172" customFormat="1" ht="15.75" thickTop="1" x14ac:dyDescent="0.25">
      <c r="A194" s="160"/>
      <c r="B194" s="161"/>
      <c r="C194" s="162"/>
      <c r="D194" s="163"/>
      <c r="E194" s="164"/>
      <c r="F194" s="165"/>
      <c r="G194" s="166"/>
      <c r="H194" s="167"/>
      <c r="I194" s="167"/>
      <c r="J194" s="188"/>
      <c r="K194" s="168"/>
      <c r="L194" s="165"/>
      <c r="M194" s="169"/>
      <c r="N194" s="170"/>
      <c r="O194" s="170"/>
      <c r="P194" s="170"/>
      <c r="Q194" s="170"/>
      <c r="R194" s="55">
        <f t="shared" si="2"/>
        <v>0</v>
      </c>
      <c r="S194" s="171"/>
      <c r="T194" s="208"/>
    </row>
    <row r="195" spans="1:20" ht="30" x14ac:dyDescent="0.25">
      <c r="A195" s="137" t="s">
        <v>732</v>
      </c>
      <c r="B195" s="137" t="s">
        <v>737</v>
      </c>
      <c r="C195" s="138" t="s">
        <v>730</v>
      </c>
      <c r="D195" s="139" t="s">
        <v>123</v>
      </c>
      <c r="E195" s="140" t="s">
        <v>735</v>
      </c>
      <c r="F195" s="141" t="s">
        <v>5</v>
      </c>
      <c r="G195" s="142" t="s">
        <v>44</v>
      </c>
      <c r="H195" s="1" t="s">
        <v>1078</v>
      </c>
      <c r="I195" s="1" t="s">
        <v>1078</v>
      </c>
      <c r="J195" s="189">
        <v>39900</v>
      </c>
      <c r="K195" s="143"/>
      <c r="L195" s="141"/>
      <c r="M195" s="144"/>
      <c r="N195" s="145"/>
      <c r="O195" s="145"/>
      <c r="P195" s="145">
        <f>19300</f>
        <v>19300</v>
      </c>
      <c r="Q195" s="145"/>
      <c r="R195" s="55">
        <f t="shared" ref="R195:R259" si="3">J195-(M195+N195+O195+P195+Q195)</f>
        <v>20600</v>
      </c>
      <c r="S195" s="146">
        <v>44204</v>
      </c>
      <c r="T195" s="3"/>
    </row>
    <row r="196" spans="1:20" ht="30" x14ac:dyDescent="0.25">
      <c r="A196" s="2" t="s">
        <v>733</v>
      </c>
      <c r="B196" s="2" t="s">
        <v>738</v>
      </c>
      <c r="C196" s="40" t="s">
        <v>730</v>
      </c>
      <c r="D196" s="3" t="s">
        <v>123</v>
      </c>
      <c r="E196" s="41" t="s">
        <v>739</v>
      </c>
      <c r="F196" s="5" t="s">
        <v>6</v>
      </c>
      <c r="G196" s="29" t="s">
        <v>44</v>
      </c>
      <c r="H196" s="1" t="s">
        <v>826</v>
      </c>
      <c r="I196" s="1" t="s">
        <v>826</v>
      </c>
      <c r="J196" s="181">
        <v>39900</v>
      </c>
      <c r="K196" s="44"/>
      <c r="L196" s="5"/>
      <c r="M196" s="100"/>
      <c r="N196" s="70"/>
      <c r="O196" s="70"/>
      <c r="P196" s="70"/>
      <c r="Q196" s="70"/>
      <c r="R196" s="55">
        <f t="shared" si="3"/>
        <v>39900</v>
      </c>
      <c r="S196" s="61">
        <v>44204</v>
      </c>
      <c r="T196" s="3"/>
    </row>
    <row r="197" spans="1:20" ht="45" x14ac:dyDescent="0.25">
      <c r="A197" s="2" t="s">
        <v>734</v>
      </c>
      <c r="B197" s="2" t="s">
        <v>740</v>
      </c>
      <c r="C197" s="40" t="s">
        <v>730</v>
      </c>
      <c r="D197" s="3" t="s">
        <v>123</v>
      </c>
      <c r="E197" s="41" t="s">
        <v>736</v>
      </c>
      <c r="F197" s="5" t="s">
        <v>5</v>
      </c>
      <c r="G197" s="29" t="s">
        <v>44</v>
      </c>
      <c r="H197" s="1" t="s">
        <v>830</v>
      </c>
      <c r="I197" s="1" t="s">
        <v>830</v>
      </c>
      <c r="J197" s="181">
        <v>39900</v>
      </c>
      <c r="K197" s="44"/>
      <c r="L197" s="5"/>
      <c r="M197" s="100"/>
      <c r="N197" s="70"/>
      <c r="O197" s="70"/>
      <c r="P197" s="70">
        <f>2059.2+17548</f>
        <v>19607.2</v>
      </c>
      <c r="Q197" s="70"/>
      <c r="R197" s="55">
        <f t="shared" si="3"/>
        <v>20292.8</v>
      </c>
      <c r="S197" s="61">
        <v>44204</v>
      </c>
      <c r="T197" s="3"/>
    </row>
    <row r="198" spans="1:20" ht="30" x14ac:dyDescent="0.25">
      <c r="A198" s="2" t="s">
        <v>741</v>
      </c>
      <c r="B198" s="2" t="s">
        <v>743</v>
      </c>
      <c r="C198" s="40"/>
      <c r="D198" s="3" t="s">
        <v>123</v>
      </c>
      <c r="E198" s="4" t="s">
        <v>742</v>
      </c>
      <c r="F198" s="5" t="s">
        <v>4</v>
      </c>
      <c r="G198" s="29" t="s">
        <v>44</v>
      </c>
      <c r="H198" s="1" t="s">
        <v>757</v>
      </c>
      <c r="I198" s="1" t="s">
        <v>757</v>
      </c>
      <c r="J198" s="181">
        <v>39900</v>
      </c>
      <c r="K198" s="44"/>
      <c r="L198" s="5"/>
      <c r="M198" s="100"/>
      <c r="N198" s="70"/>
      <c r="O198" s="70"/>
      <c r="P198" s="70">
        <f>50.24+288.25+234.63+98.24+2601+395.3+219.55+40.8+72.82+885.05+31.98+369.52+505.62+260.77+134.96+325.94+630.23+99.56+271.23+119.31+446.6+128.63+70.77+183.34+3332.72+534.11</f>
        <v>12331.170000000002</v>
      </c>
      <c r="Q198" s="70"/>
      <c r="R198" s="55">
        <f t="shared" si="3"/>
        <v>27568.829999999998</v>
      </c>
      <c r="S198" s="61">
        <v>44208</v>
      </c>
      <c r="T198" s="3"/>
    </row>
    <row r="199" spans="1:20" ht="30" x14ac:dyDescent="0.25">
      <c r="A199" s="2" t="s">
        <v>746</v>
      </c>
      <c r="B199" s="2" t="s">
        <v>748</v>
      </c>
      <c r="C199" s="40" t="s">
        <v>641</v>
      </c>
      <c r="D199" s="3" t="s">
        <v>123</v>
      </c>
      <c r="E199" s="41" t="s">
        <v>745</v>
      </c>
      <c r="F199" s="5" t="s">
        <v>4</v>
      </c>
      <c r="G199" s="29" t="s">
        <v>44</v>
      </c>
      <c r="H199" s="1" t="s">
        <v>747</v>
      </c>
      <c r="I199" s="1" t="s">
        <v>747</v>
      </c>
      <c r="J199" s="181">
        <v>39900</v>
      </c>
      <c r="K199" s="44"/>
      <c r="L199" s="5"/>
      <c r="M199" s="100"/>
      <c r="N199" s="70"/>
      <c r="O199" s="70"/>
      <c r="P199" s="70"/>
      <c r="Q199" s="70"/>
      <c r="R199" s="55">
        <f t="shared" si="3"/>
        <v>39900</v>
      </c>
      <c r="S199" s="61">
        <v>44214</v>
      </c>
      <c r="T199" s="3"/>
    </row>
    <row r="200" spans="1:20" s="99" customFormat="1" ht="30" x14ac:dyDescent="0.25">
      <c r="A200" s="81" t="s">
        <v>749</v>
      </c>
      <c r="B200" s="81" t="s">
        <v>752</v>
      </c>
      <c r="C200" s="229"/>
      <c r="D200" s="110" t="s">
        <v>123</v>
      </c>
      <c r="E200" s="197" t="s">
        <v>751</v>
      </c>
      <c r="F200" s="92" t="s">
        <v>5</v>
      </c>
      <c r="G200" s="192" t="s">
        <v>44</v>
      </c>
      <c r="H200" s="85" t="s">
        <v>750</v>
      </c>
      <c r="I200" s="85" t="s">
        <v>750</v>
      </c>
      <c r="J200" s="230">
        <v>10000</v>
      </c>
      <c r="K200" s="231"/>
      <c r="L200" s="92"/>
      <c r="M200" s="232"/>
      <c r="N200" s="233"/>
      <c r="O200" s="233"/>
      <c r="P200" s="233">
        <f>3650+335+1080+250+480+500+250+2400</f>
        <v>8945</v>
      </c>
      <c r="Q200" s="233"/>
      <c r="R200" s="55">
        <f t="shared" si="3"/>
        <v>1055</v>
      </c>
      <c r="S200" s="72">
        <v>44216</v>
      </c>
      <c r="T200" s="110"/>
    </row>
    <row r="201" spans="1:20" ht="140.25" customHeight="1" x14ac:dyDescent="0.25">
      <c r="A201" s="2" t="s">
        <v>758</v>
      </c>
      <c r="B201" s="5" t="s">
        <v>764</v>
      </c>
      <c r="C201" s="2"/>
      <c r="D201" s="10" t="s">
        <v>123</v>
      </c>
      <c r="E201" s="4" t="s">
        <v>760</v>
      </c>
      <c r="F201" s="37" t="s">
        <v>4</v>
      </c>
      <c r="G201" s="6" t="s">
        <v>44</v>
      </c>
      <c r="H201" s="4" t="s">
        <v>898</v>
      </c>
      <c r="I201" s="4" t="s">
        <v>899</v>
      </c>
      <c r="J201" s="180">
        <v>39900</v>
      </c>
      <c r="K201" s="5"/>
      <c r="L201" s="5"/>
      <c r="M201" s="18"/>
      <c r="N201" s="18"/>
      <c r="O201" s="18"/>
      <c r="P201" s="18">
        <f>1924.8+1330+2415+600+588.4+386.59+1763</f>
        <v>9007.7900000000009</v>
      </c>
      <c r="Q201" s="18">
        <f>2179.2</f>
        <v>2179.1999999999998</v>
      </c>
      <c r="R201" s="55">
        <f t="shared" si="3"/>
        <v>28713.01</v>
      </c>
      <c r="S201" s="61">
        <v>44221</v>
      </c>
      <c r="T201" s="3" t="s">
        <v>1095</v>
      </c>
    </row>
    <row r="202" spans="1:20" ht="75" x14ac:dyDescent="0.25">
      <c r="A202" s="2" t="s">
        <v>767</v>
      </c>
      <c r="B202" s="28" t="s">
        <v>765</v>
      </c>
      <c r="C202" s="2"/>
      <c r="D202" s="3" t="s">
        <v>123</v>
      </c>
      <c r="E202" s="3" t="s">
        <v>762</v>
      </c>
      <c r="F202" s="37" t="s">
        <v>6</v>
      </c>
      <c r="G202" s="29" t="s">
        <v>44</v>
      </c>
      <c r="H202" s="4" t="s">
        <v>763</v>
      </c>
      <c r="I202" s="4" t="s">
        <v>763</v>
      </c>
      <c r="J202" s="180">
        <v>39900</v>
      </c>
      <c r="K202" s="5"/>
      <c r="L202" s="5"/>
      <c r="M202" s="7"/>
      <c r="N202" s="55"/>
      <c r="O202" s="55"/>
      <c r="P202" s="55">
        <f>125+600+687.5+484.38+593.75+150+150+109.38+150+234.38+93.75+525+437.5</f>
        <v>4340.6400000000003</v>
      </c>
      <c r="Q202" s="55">
        <f>187.5+156.25+93.75+187.5+525</f>
        <v>1150</v>
      </c>
      <c r="R202" s="55">
        <f>J202-(M202+N202+O202+P202+Q202)</f>
        <v>34409.360000000001</v>
      </c>
      <c r="S202" s="61">
        <v>44221</v>
      </c>
      <c r="T202" s="59" t="s">
        <v>1109</v>
      </c>
    </row>
    <row r="203" spans="1:20" s="173" customFormat="1" ht="84" customHeight="1" x14ac:dyDescent="0.25">
      <c r="A203" s="81" t="s">
        <v>775</v>
      </c>
      <c r="B203" s="92" t="s">
        <v>784</v>
      </c>
      <c r="C203" s="83"/>
      <c r="D203" s="84" t="s">
        <v>123</v>
      </c>
      <c r="E203" s="93" t="s">
        <v>1054</v>
      </c>
      <c r="F203" s="85" t="s">
        <v>4</v>
      </c>
      <c r="G203" s="93" t="s">
        <v>44</v>
      </c>
      <c r="H203" s="93" t="s">
        <v>282</v>
      </c>
      <c r="I203" s="93" t="s">
        <v>282</v>
      </c>
      <c r="J203" s="179">
        <v>39900</v>
      </c>
      <c r="K203" s="106"/>
      <c r="L203" s="87"/>
      <c r="M203" s="97"/>
      <c r="N203" s="97"/>
      <c r="O203" s="97"/>
      <c r="P203" s="97">
        <f>703.35+612.52+878.66+15+811.04+1033.41+15+282.79+759.35+694.78+74.59+929.54+921.66+100+770.68+15+732.63+886.7+873.91+835.62</f>
        <v>11946.23</v>
      </c>
      <c r="Q203" s="97">
        <f>1144.83+787.42+1085.83+56.57+15+779.64+148.36+777.61</f>
        <v>4795.26</v>
      </c>
      <c r="R203" s="55">
        <f t="shared" si="3"/>
        <v>23158.510000000002</v>
      </c>
      <c r="S203" s="72">
        <v>44222</v>
      </c>
      <c r="T203" s="110" t="s">
        <v>1031</v>
      </c>
    </row>
    <row r="204" spans="1:20" s="99" customFormat="1" ht="190.5" customHeight="1" x14ac:dyDescent="0.25">
      <c r="A204" s="81" t="s">
        <v>776</v>
      </c>
      <c r="B204" s="92" t="s">
        <v>785</v>
      </c>
      <c r="C204" s="81"/>
      <c r="D204" s="84" t="s">
        <v>123</v>
      </c>
      <c r="E204" s="93" t="s">
        <v>768</v>
      </c>
      <c r="F204" s="94" t="s">
        <v>4</v>
      </c>
      <c r="G204" s="95" t="s">
        <v>44</v>
      </c>
      <c r="H204" s="93" t="s">
        <v>860</v>
      </c>
      <c r="I204" s="93" t="s">
        <v>860</v>
      </c>
      <c r="J204" s="179">
        <v>39900</v>
      </c>
      <c r="K204" s="92"/>
      <c r="L204" s="92"/>
      <c r="M204" s="97"/>
      <c r="N204" s="97"/>
      <c r="O204" s="97"/>
      <c r="P204" s="97">
        <f>1272.26+461.5+2580+3218.5+1955+222.3+593.2+83.06+669.77+82.66</f>
        <v>11138.25</v>
      </c>
      <c r="Q204" s="97">
        <f>3982.13</f>
        <v>3982.13</v>
      </c>
      <c r="R204" s="55">
        <f t="shared" si="3"/>
        <v>24779.62</v>
      </c>
      <c r="S204" s="72">
        <v>44222</v>
      </c>
      <c r="T204" s="110" t="s">
        <v>1053</v>
      </c>
    </row>
    <row r="205" spans="1:20" s="99" customFormat="1" ht="60" x14ac:dyDescent="0.25">
      <c r="A205" s="81" t="s">
        <v>777</v>
      </c>
      <c r="B205" s="92" t="s">
        <v>786</v>
      </c>
      <c r="C205" s="81"/>
      <c r="D205" s="84" t="s">
        <v>123</v>
      </c>
      <c r="E205" s="93" t="s">
        <v>769</v>
      </c>
      <c r="F205" s="94" t="s">
        <v>4</v>
      </c>
      <c r="G205" s="95" t="s">
        <v>44</v>
      </c>
      <c r="H205" s="93" t="s">
        <v>313</v>
      </c>
      <c r="I205" s="93" t="s">
        <v>313</v>
      </c>
      <c r="J205" s="179">
        <v>39900</v>
      </c>
      <c r="K205" s="92"/>
      <c r="L205" s="92"/>
      <c r="M205" s="97"/>
      <c r="N205" s="97"/>
      <c r="O205" s="97"/>
      <c r="P205" s="97">
        <f>350.89+1624.58+1521.52+2782.48+1124.1+2366.15</f>
        <v>9769.7199999999993</v>
      </c>
      <c r="Q205" s="97"/>
      <c r="R205" s="55">
        <f t="shared" si="3"/>
        <v>30130.28</v>
      </c>
      <c r="S205" s="72">
        <v>44222</v>
      </c>
      <c r="T205" s="110"/>
    </row>
    <row r="206" spans="1:20" s="99" customFormat="1" ht="90" x14ac:dyDescent="0.25">
      <c r="A206" s="81" t="s">
        <v>778</v>
      </c>
      <c r="B206" s="92" t="s">
        <v>787</v>
      </c>
      <c r="C206" s="81"/>
      <c r="D206" s="84" t="s">
        <v>123</v>
      </c>
      <c r="E206" s="93" t="s">
        <v>799</v>
      </c>
      <c r="F206" s="94" t="s">
        <v>5</v>
      </c>
      <c r="G206" s="95" t="s">
        <v>44</v>
      </c>
      <c r="H206" s="93" t="s">
        <v>847</v>
      </c>
      <c r="I206" s="93" t="s">
        <v>847</v>
      </c>
      <c r="J206" s="179">
        <v>39900</v>
      </c>
      <c r="K206" s="92"/>
      <c r="L206" s="92"/>
      <c r="M206" s="97"/>
      <c r="N206" s="97"/>
      <c r="O206" s="97"/>
      <c r="P206" s="97">
        <f>428.67+980+1872+392.5+1442.5+1870+280+825+1243.1+6000</f>
        <v>15333.77</v>
      </c>
      <c r="Q206" s="97">
        <f>1050</f>
        <v>1050</v>
      </c>
      <c r="R206" s="55">
        <f t="shared" si="3"/>
        <v>23516.23</v>
      </c>
      <c r="S206" s="72">
        <v>44222</v>
      </c>
      <c r="T206" s="110" t="s">
        <v>1122</v>
      </c>
    </row>
    <row r="207" spans="1:20" s="174" customFormat="1" ht="45" x14ac:dyDescent="0.25">
      <c r="A207" s="81" t="s">
        <v>779</v>
      </c>
      <c r="B207" s="96" t="s">
        <v>788</v>
      </c>
      <c r="C207" s="96"/>
      <c r="D207" s="84" t="s">
        <v>123</v>
      </c>
      <c r="E207" s="93" t="s">
        <v>773</v>
      </c>
      <c r="F207" s="92" t="s">
        <v>5</v>
      </c>
      <c r="G207" s="95" t="s">
        <v>189</v>
      </c>
      <c r="H207" s="93" t="s">
        <v>534</v>
      </c>
      <c r="I207" s="93" t="s">
        <v>534</v>
      </c>
      <c r="J207" s="179">
        <v>39900</v>
      </c>
      <c r="K207" s="92"/>
      <c r="L207" s="92"/>
      <c r="M207" s="97"/>
      <c r="N207" s="97"/>
      <c r="O207" s="97"/>
      <c r="P207" s="97">
        <f>2877+734.51+5469.66+1385</f>
        <v>10466.17</v>
      </c>
      <c r="Q207" s="97"/>
      <c r="R207" s="55">
        <f t="shared" si="3"/>
        <v>29433.83</v>
      </c>
      <c r="S207" s="72">
        <v>44222</v>
      </c>
      <c r="T207" s="93"/>
    </row>
    <row r="208" spans="1:20" s="99" customFormat="1" ht="45" x14ac:dyDescent="0.25">
      <c r="A208" s="81" t="s">
        <v>780</v>
      </c>
      <c r="B208" s="92" t="s">
        <v>789</v>
      </c>
      <c r="C208" s="81"/>
      <c r="D208" s="84" t="s">
        <v>123</v>
      </c>
      <c r="E208" s="93" t="s">
        <v>770</v>
      </c>
      <c r="F208" s="94" t="s">
        <v>4</v>
      </c>
      <c r="G208" s="95" t="s">
        <v>44</v>
      </c>
      <c r="H208" s="93" t="s">
        <v>805</v>
      </c>
      <c r="I208" s="93" t="s">
        <v>805</v>
      </c>
      <c r="J208" s="179">
        <v>39900</v>
      </c>
      <c r="K208" s="92"/>
      <c r="L208" s="92"/>
      <c r="M208" s="97"/>
      <c r="N208" s="97"/>
      <c r="O208" s="97"/>
      <c r="P208" s="97">
        <f>205.05+307.64+183.77+46.78+177.82+62.13+196.1</f>
        <v>1179.29</v>
      </c>
      <c r="Q208" s="97">
        <f>83.35+240.16</f>
        <v>323.51</v>
      </c>
      <c r="R208" s="55">
        <f t="shared" si="3"/>
        <v>38397.199999999997</v>
      </c>
      <c r="S208" s="72">
        <v>44222</v>
      </c>
      <c r="T208" s="110" t="s">
        <v>1105</v>
      </c>
    </row>
    <row r="209" spans="1:20" s="99" customFormat="1" ht="45" x14ac:dyDescent="0.25">
      <c r="A209" s="81" t="s">
        <v>781</v>
      </c>
      <c r="B209" s="92" t="s">
        <v>790</v>
      </c>
      <c r="C209" s="81"/>
      <c r="D209" s="84" t="s">
        <v>123</v>
      </c>
      <c r="E209" s="93" t="s">
        <v>771</v>
      </c>
      <c r="F209" s="94" t="s">
        <v>5</v>
      </c>
      <c r="G209" s="95" t="s">
        <v>44</v>
      </c>
      <c r="H209" s="93" t="s">
        <v>794</v>
      </c>
      <c r="I209" s="93" t="s">
        <v>794</v>
      </c>
      <c r="J209" s="179">
        <v>39900</v>
      </c>
      <c r="K209" s="92"/>
      <c r="L209" s="92"/>
      <c r="M209" s="97"/>
      <c r="N209" s="97"/>
      <c r="O209" s="97"/>
      <c r="P209" s="97">
        <f>246+246+212.26</f>
        <v>704.26</v>
      </c>
      <c r="Q209" s="97">
        <f>1000</f>
        <v>1000</v>
      </c>
      <c r="R209" s="55">
        <f t="shared" si="3"/>
        <v>38195.74</v>
      </c>
      <c r="S209" s="72">
        <v>44222</v>
      </c>
      <c r="T209" s="110" t="s">
        <v>1124</v>
      </c>
    </row>
    <row r="210" spans="1:20" s="99" customFormat="1" ht="25.5" x14ac:dyDescent="0.25">
      <c r="A210" s="81" t="s">
        <v>782</v>
      </c>
      <c r="B210" s="92" t="s">
        <v>791</v>
      </c>
      <c r="C210" s="81"/>
      <c r="D210" s="84" t="s">
        <v>123</v>
      </c>
      <c r="E210" s="93" t="s">
        <v>772</v>
      </c>
      <c r="F210" s="94" t="s">
        <v>4</v>
      </c>
      <c r="G210" s="95" t="s">
        <v>44</v>
      </c>
      <c r="H210" s="93" t="s">
        <v>122</v>
      </c>
      <c r="I210" s="93" t="s">
        <v>122</v>
      </c>
      <c r="J210" s="179">
        <v>39900</v>
      </c>
      <c r="K210" s="92"/>
      <c r="L210" s="92"/>
      <c r="M210" s="97"/>
      <c r="N210" s="97"/>
      <c r="O210" s="97"/>
      <c r="P210" s="97">
        <f>2004.26+2189.48+2196.34+2299.24+2292.38+2367.84+2210.06+1873.92</f>
        <v>17433.52</v>
      </c>
      <c r="Q210" s="97"/>
      <c r="R210" s="55">
        <f t="shared" si="3"/>
        <v>22466.48</v>
      </c>
      <c r="S210" s="72">
        <v>44222</v>
      </c>
      <c r="T210" s="110"/>
    </row>
    <row r="211" spans="1:20" s="174" customFormat="1" ht="25.5" x14ac:dyDescent="0.25">
      <c r="A211" s="81" t="s">
        <v>783</v>
      </c>
      <c r="B211" s="96" t="s">
        <v>792</v>
      </c>
      <c r="C211" s="96"/>
      <c r="D211" s="84" t="s">
        <v>123</v>
      </c>
      <c r="E211" s="93" t="s">
        <v>774</v>
      </c>
      <c r="F211" s="92" t="s">
        <v>6</v>
      </c>
      <c r="G211" s="95" t="s">
        <v>189</v>
      </c>
      <c r="H211" s="93" t="s">
        <v>191</v>
      </c>
      <c r="I211" s="93" t="s">
        <v>191</v>
      </c>
      <c r="J211" s="179">
        <v>39900</v>
      </c>
      <c r="K211" s="92"/>
      <c r="L211" s="92"/>
      <c r="M211" s="97"/>
      <c r="N211" s="97"/>
      <c r="O211" s="97"/>
      <c r="P211" s="97"/>
      <c r="Q211" s="97"/>
      <c r="R211" s="55">
        <f t="shared" si="3"/>
        <v>39900</v>
      </c>
      <c r="S211" s="72">
        <v>44222</v>
      </c>
      <c r="T211" s="93"/>
    </row>
    <row r="212" spans="1:20" ht="30" x14ac:dyDescent="0.25">
      <c r="A212" s="110" t="s">
        <v>797</v>
      </c>
      <c r="B212" s="5" t="s">
        <v>796</v>
      </c>
      <c r="C212" s="2"/>
      <c r="D212" s="84" t="s">
        <v>123</v>
      </c>
      <c r="E212" s="3" t="s">
        <v>91</v>
      </c>
      <c r="F212" s="37" t="s">
        <v>6</v>
      </c>
      <c r="G212" s="29" t="s">
        <v>44</v>
      </c>
      <c r="H212" s="4" t="s">
        <v>92</v>
      </c>
      <c r="I212" s="4" t="s">
        <v>92</v>
      </c>
      <c r="J212" s="190">
        <v>20000</v>
      </c>
      <c r="K212" s="5"/>
      <c r="L212" s="46">
        <v>44561</v>
      </c>
      <c r="M212" s="11"/>
      <c r="N212" s="11"/>
      <c r="O212" s="11"/>
      <c r="P212" s="11">
        <f>3495+2640+2520+2400+1920</f>
        <v>12975</v>
      </c>
      <c r="Q212" s="11">
        <f>4125</f>
        <v>4125</v>
      </c>
      <c r="R212" s="55">
        <f t="shared" si="3"/>
        <v>2900</v>
      </c>
      <c r="S212" s="46">
        <v>44246</v>
      </c>
      <c r="T212" s="3" t="s">
        <v>1083</v>
      </c>
    </row>
    <row r="213" spans="1:20" s="33" customFormat="1" ht="45" x14ac:dyDescent="0.2">
      <c r="A213" s="2" t="s">
        <v>800</v>
      </c>
      <c r="B213" s="5">
        <v>8713870102</v>
      </c>
      <c r="C213" s="2" t="s">
        <v>702</v>
      </c>
      <c r="D213" s="10" t="s">
        <v>123</v>
      </c>
      <c r="E213" s="4" t="s">
        <v>802</v>
      </c>
      <c r="F213" s="5" t="s">
        <v>6</v>
      </c>
      <c r="G213" s="3" t="s">
        <v>2</v>
      </c>
      <c r="H213" s="4" t="s">
        <v>826</v>
      </c>
      <c r="I213" s="4" t="s">
        <v>826</v>
      </c>
      <c r="J213" s="180">
        <v>39900</v>
      </c>
      <c r="K213" s="5"/>
      <c r="L213" s="5"/>
      <c r="M213" s="7"/>
      <c r="N213" s="97"/>
      <c r="O213" s="18"/>
      <c r="P213" s="18"/>
      <c r="Q213" s="18"/>
      <c r="R213" s="55">
        <f t="shared" si="3"/>
        <v>39900</v>
      </c>
      <c r="S213" s="46">
        <v>44301</v>
      </c>
      <c r="T213" s="3"/>
    </row>
    <row r="214" spans="1:20" s="33" customFormat="1" ht="60" customHeight="1" x14ac:dyDescent="0.2">
      <c r="A214" s="2" t="s">
        <v>801</v>
      </c>
      <c r="B214" s="5" t="s">
        <v>803</v>
      </c>
      <c r="C214" s="2" t="s">
        <v>702</v>
      </c>
      <c r="D214" s="10" t="s">
        <v>123</v>
      </c>
      <c r="E214" s="4" t="s">
        <v>948</v>
      </c>
      <c r="F214" s="5" t="s">
        <v>6</v>
      </c>
      <c r="G214" s="3" t="s">
        <v>615</v>
      </c>
      <c r="H214" s="4" t="s">
        <v>951</v>
      </c>
      <c r="I214" s="4" t="s">
        <v>951</v>
      </c>
      <c r="J214" s="180">
        <v>39900</v>
      </c>
      <c r="K214" s="5"/>
      <c r="L214" s="5"/>
      <c r="M214" s="7"/>
      <c r="N214" s="97"/>
      <c r="O214" s="18"/>
      <c r="P214" s="18">
        <v>702.05</v>
      </c>
      <c r="Q214" s="18"/>
      <c r="R214" s="55">
        <f t="shared" si="3"/>
        <v>39197.949999999997</v>
      </c>
      <c r="S214" s="46">
        <v>44301</v>
      </c>
      <c r="T214" s="3"/>
    </row>
    <row r="215" spans="1:20" s="194" customFormat="1" ht="30" x14ac:dyDescent="0.2">
      <c r="A215" s="81" t="s">
        <v>806</v>
      </c>
      <c r="B215" s="92" t="s">
        <v>808</v>
      </c>
      <c r="C215" s="81" t="s">
        <v>807</v>
      </c>
      <c r="D215" s="84" t="s">
        <v>123</v>
      </c>
      <c r="E215" s="93" t="s">
        <v>817</v>
      </c>
      <c r="F215" s="92" t="s">
        <v>5</v>
      </c>
      <c r="G215" s="95" t="s">
        <v>189</v>
      </c>
      <c r="H215" s="93" t="s">
        <v>995</v>
      </c>
      <c r="I215" s="93" t="s">
        <v>995</v>
      </c>
      <c r="J215" s="185">
        <v>39900</v>
      </c>
      <c r="K215" s="92"/>
      <c r="L215" s="92"/>
      <c r="M215" s="88"/>
      <c r="N215" s="97"/>
      <c r="O215" s="97"/>
      <c r="P215" s="97">
        <f>93.33+5151.47+2633.77+6075.78+425.55</f>
        <v>14379.899999999998</v>
      </c>
      <c r="Q215" s="97">
        <f>4500</f>
        <v>4500</v>
      </c>
      <c r="R215" s="55">
        <f t="shared" si="3"/>
        <v>21020.100000000002</v>
      </c>
      <c r="S215" s="98">
        <v>44308</v>
      </c>
      <c r="T215" s="110" t="s">
        <v>1057</v>
      </c>
    </row>
    <row r="216" spans="1:20" s="194" customFormat="1" ht="120" x14ac:dyDescent="0.2">
      <c r="A216" s="81" t="s">
        <v>812</v>
      </c>
      <c r="B216" s="92" t="s">
        <v>811</v>
      </c>
      <c r="C216" s="81"/>
      <c r="D216" s="84" t="s">
        <v>123</v>
      </c>
      <c r="E216" s="93" t="s">
        <v>810</v>
      </c>
      <c r="F216" s="92" t="s">
        <v>5</v>
      </c>
      <c r="G216" s="95" t="s">
        <v>189</v>
      </c>
      <c r="H216" s="93" t="s">
        <v>389</v>
      </c>
      <c r="I216" s="93" t="s">
        <v>389</v>
      </c>
      <c r="J216" s="185">
        <v>39900</v>
      </c>
      <c r="K216" s="92"/>
      <c r="L216" s="92"/>
      <c r="M216" s="88"/>
      <c r="N216" s="97"/>
      <c r="O216" s="97"/>
      <c r="P216" s="97">
        <f>2927.71+2457.66+9578</f>
        <v>14963.369999999999</v>
      </c>
      <c r="Q216" s="97">
        <f>7321.62</f>
        <v>7321.62</v>
      </c>
      <c r="R216" s="55">
        <f t="shared" si="3"/>
        <v>17615.010000000002</v>
      </c>
      <c r="S216" s="98">
        <v>44319</v>
      </c>
      <c r="T216" s="110" t="s">
        <v>1035</v>
      </c>
    </row>
    <row r="217" spans="1:20" s="194" customFormat="1" ht="120" x14ac:dyDescent="0.2">
      <c r="A217" s="81" t="s">
        <v>813</v>
      </c>
      <c r="B217" s="92" t="s">
        <v>815</v>
      </c>
      <c r="C217" s="81"/>
      <c r="D217" s="84" t="s">
        <v>123</v>
      </c>
      <c r="E217" s="93" t="s">
        <v>814</v>
      </c>
      <c r="F217" s="92" t="s">
        <v>5</v>
      </c>
      <c r="G217" s="95" t="s">
        <v>189</v>
      </c>
      <c r="H217" s="93" t="s">
        <v>18</v>
      </c>
      <c r="I217" s="93" t="s">
        <v>18</v>
      </c>
      <c r="J217" s="185">
        <v>39900</v>
      </c>
      <c r="K217" s="92"/>
      <c r="L217" s="92"/>
      <c r="M217" s="88"/>
      <c r="N217" s="97"/>
      <c r="O217" s="97"/>
      <c r="P217" s="97">
        <f>18608.98+19120.79+22088.96+17734.77</f>
        <v>77553.5</v>
      </c>
      <c r="Q217" s="97"/>
      <c r="R217" s="55">
        <f t="shared" si="3"/>
        <v>-37653.5</v>
      </c>
      <c r="S217" s="98">
        <v>44319</v>
      </c>
      <c r="T217" s="110"/>
    </row>
    <row r="218" spans="1:20" s="99" customFormat="1" ht="60" x14ac:dyDescent="0.25">
      <c r="A218" s="81" t="s">
        <v>818</v>
      </c>
      <c r="B218" s="92" t="s">
        <v>819</v>
      </c>
      <c r="C218" s="81"/>
      <c r="D218" s="84" t="s">
        <v>123</v>
      </c>
      <c r="E218" s="93" t="s">
        <v>820</v>
      </c>
      <c r="F218" s="94" t="s">
        <v>4</v>
      </c>
      <c r="G218" s="95" t="s">
        <v>44</v>
      </c>
      <c r="H218" s="93" t="s">
        <v>313</v>
      </c>
      <c r="I218" s="93" t="s">
        <v>313</v>
      </c>
      <c r="J218" s="179">
        <v>39900</v>
      </c>
      <c r="K218" s="92"/>
      <c r="L218" s="92"/>
      <c r="M218" s="97"/>
      <c r="N218" s="97"/>
      <c r="O218" s="97"/>
      <c r="P218" s="97">
        <f>2935.91+1460.4+2664.64+390.91+666.19+48.17+1349.4+724.28+433.31</f>
        <v>10673.21</v>
      </c>
      <c r="Q218" s="97"/>
      <c r="R218" s="55">
        <f t="shared" si="3"/>
        <v>29226.79</v>
      </c>
      <c r="S218" s="72">
        <v>44323</v>
      </c>
      <c r="T218" s="110"/>
    </row>
    <row r="219" spans="1:20" s="99" customFormat="1" ht="90" x14ac:dyDescent="0.25">
      <c r="A219" s="81" t="s">
        <v>821</v>
      </c>
      <c r="B219" s="92" t="s">
        <v>824</v>
      </c>
      <c r="C219" s="81"/>
      <c r="D219" s="84" t="s">
        <v>123</v>
      </c>
      <c r="E219" s="93" t="s">
        <v>823</v>
      </c>
      <c r="F219" s="94" t="s">
        <v>6</v>
      </c>
      <c r="G219" s="95" t="s">
        <v>44</v>
      </c>
      <c r="H219" s="93" t="s">
        <v>825</v>
      </c>
      <c r="I219" s="93" t="s">
        <v>825</v>
      </c>
      <c r="J219" s="179">
        <v>39900</v>
      </c>
      <c r="K219" s="92"/>
      <c r="L219" s="92"/>
      <c r="M219" s="97"/>
      <c r="N219" s="97"/>
      <c r="O219" s="97"/>
      <c r="P219" s="97">
        <f>4434.33</f>
        <v>4434.33</v>
      </c>
      <c r="Q219" s="97"/>
      <c r="R219" s="55">
        <f t="shared" si="3"/>
        <v>35465.67</v>
      </c>
      <c r="S219" s="72">
        <v>44327</v>
      </c>
      <c r="T219" s="110"/>
    </row>
    <row r="220" spans="1:20" s="99" customFormat="1" ht="105" x14ac:dyDescent="0.25">
      <c r="A220" s="81" t="s">
        <v>1100</v>
      </c>
      <c r="B220" s="237" t="s">
        <v>1101</v>
      </c>
      <c r="C220" s="81"/>
      <c r="D220" s="84" t="s">
        <v>123</v>
      </c>
      <c r="E220" s="93" t="s">
        <v>1102</v>
      </c>
      <c r="F220" s="94" t="s">
        <v>5</v>
      </c>
      <c r="G220" s="95" t="s">
        <v>44</v>
      </c>
      <c r="H220" s="93" t="s">
        <v>1104</v>
      </c>
      <c r="I220" s="93" t="s">
        <v>1103</v>
      </c>
      <c r="J220" s="55">
        <v>237264.59</v>
      </c>
      <c r="K220" s="92"/>
      <c r="L220" s="92"/>
      <c r="M220" s="97"/>
      <c r="N220" s="97"/>
      <c r="O220" s="97"/>
      <c r="P220" s="97"/>
      <c r="Q220" s="97"/>
      <c r="R220" s="55">
        <v>237264.59</v>
      </c>
      <c r="S220" s="72">
        <v>44329</v>
      </c>
      <c r="T220" s="110"/>
    </row>
    <row r="221" spans="1:20" s="199" customFormat="1" ht="30" x14ac:dyDescent="0.25">
      <c r="A221" s="198" t="s">
        <v>822</v>
      </c>
      <c r="B221" s="200" t="s">
        <v>848</v>
      </c>
      <c r="C221" s="198"/>
      <c r="D221" s="205" t="s">
        <v>123</v>
      </c>
      <c r="E221" s="201" t="s">
        <v>849</v>
      </c>
      <c r="F221" s="200" t="s">
        <v>4</v>
      </c>
      <c r="G221" s="201" t="s">
        <v>612</v>
      </c>
      <c r="H221" s="201" t="s">
        <v>1048</v>
      </c>
      <c r="I221" s="201" t="s">
        <v>1048</v>
      </c>
      <c r="J221" s="202">
        <v>200000</v>
      </c>
      <c r="K221" s="200"/>
      <c r="L221" s="200"/>
      <c r="M221" s="203"/>
      <c r="N221" s="203"/>
      <c r="O221" s="203"/>
      <c r="P221" s="203">
        <f>38.18+233.52</f>
        <v>271.7</v>
      </c>
      <c r="Q221" s="203"/>
      <c r="R221" s="55">
        <f t="shared" si="3"/>
        <v>199728.3</v>
      </c>
      <c r="S221" s="204">
        <v>44333</v>
      </c>
      <c r="T221" s="209" t="s">
        <v>941</v>
      </c>
    </row>
    <row r="222" spans="1:20" customFormat="1" ht="45" x14ac:dyDescent="0.25">
      <c r="A222" s="81" t="s">
        <v>851</v>
      </c>
      <c r="B222" s="66" t="s">
        <v>853</v>
      </c>
      <c r="C222" s="54"/>
      <c r="D222" s="3" t="s">
        <v>123</v>
      </c>
      <c r="E222" s="59" t="s">
        <v>852</v>
      </c>
      <c r="F222" s="67" t="s">
        <v>6</v>
      </c>
      <c r="G222" s="68" t="s">
        <v>44</v>
      </c>
      <c r="H222" s="69" t="s">
        <v>549</v>
      </c>
      <c r="I222" s="69" t="s">
        <v>549</v>
      </c>
      <c r="J222" s="182">
        <v>10000</v>
      </c>
      <c r="K222" s="66"/>
      <c r="L222" s="60">
        <v>44705</v>
      </c>
      <c r="M222" s="54"/>
      <c r="N222" s="55"/>
      <c r="O222" s="55"/>
      <c r="P222" s="55"/>
      <c r="Q222" s="55">
        <f>1334</f>
        <v>1334</v>
      </c>
      <c r="R222" s="55">
        <f t="shared" si="3"/>
        <v>8666</v>
      </c>
      <c r="S222" s="61">
        <v>44362</v>
      </c>
      <c r="T222" s="56" t="s">
        <v>1162</v>
      </c>
    </row>
    <row r="223" spans="1:20" ht="30" x14ac:dyDescent="0.25">
      <c r="A223" s="81" t="s">
        <v>854</v>
      </c>
      <c r="B223" s="66" t="s">
        <v>855</v>
      </c>
      <c r="C223" s="54"/>
      <c r="D223" s="3" t="s">
        <v>123</v>
      </c>
      <c r="E223" s="210" t="s">
        <v>856</v>
      </c>
      <c r="F223" s="67" t="s">
        <v>6</v>
      </c>
      <c r="G223" s="68" t="s">
        <v>44</v>
      </c>
      <c r="H223" s="69" t="s">
        <v>857</v>
      </c>
      <c r="I223" s="69" t="str">
        <f>H223</f>
        <v>UTILITEAM CO.SRL - MILANO</v>
      </c>
      <c r="J223" s="182">
        <v>25000</v>
      </c>
      <c r="K223" s="66"/>
      <c r="L223" s="60"/>
      <c r="M223" s="54"/>
      <c r="N223" s="55"/>
      <c r="O223" s="55"/>
      <c r="P223" s="55">
        <f>6150</f>
        <v>6150</v>
      </c>
      <c r="Q223" s="55"/>
      <c r="R223" s="55">
        <f t="shared" si="3"/>
        <v>18850</v>
      </c>
      <c r="S223" s="61">
        <v>44369</v>
      </c>
      <c r="T223" s="56"/>
    </row>
    <row r="224" spans="1:20" s="99" customFormat="1" ht="105" x14ac:dyDescent="0.25">
      <c r="A224" s="81" t="s">
        <v>858</v>
      </c>
      <c r="B224" s="92" t="s">
        <v>861</v>
      </c>
      <c r="C224" s="81"/>
      <c r="D224" s="84" t="s">
        <v>123</v>
      </c>
      <c r="E224" s="93" t="s">
        <v>859</v>
      </c>
      <c r="F224" s="94" t="s">
        <v>5</v>
      </c>
      <c r="G224" s="95" t="s">
        <v>44</v>
      </c>
      <c r="H224" s="93" t="s">
        <v>897</v>
      </c>
      <c r="I224" s="93" t="s">
        <v>897</v>
      </c>
      <c r="J224" s="179">
        <v>39900</v>
      </c>
      <c r="K224" s="92"/>
      <c r="L224" s="92"/>
      <c r="M224" s="97"/>
      <c r="N224" s="97"/>
      <c r="O224" s="97"/>
      <c r="P224" s="97">
        <f>2800+4030.33+218+1830+631.76+3100</f>
        <v>12610.09</v>
      </c>
      <c r="Q224" s="97"/>
      <c r="R224" s="55">
        <f t="shared" si="3"/>
        <v>27289.91</v>
      </c>
      <c r="S224" s="72">
        <v>44379</v>
      </c>
      <c r="T224" s="110"/>
    </row>
    <row r="225" spans="1:20" s="99" customFormat="1" ht="60" x14ac:dyDescent="0.25">
      <c r="A225" s="81" t="s">
        <v>864</v>
      </c>
      <c r="B225" s="92" t="s">
        <v>866</v>
      </c>
      <c r="C225" s="81"/>
      <c r="D225" s="84" t="s">
        <v>123</v>
      </c>
      <c r="E225" s="93" t="s">
        <v>865</v>
      </c>
      <c r="F225" s="94" t="s">
        <v>4</v>
      </c>
      <c r="G225" s="95" t="s">
        <v>44</v>
      </c>
      <c r="H225" s="93" t="s">
        <v>930</v>
      </c>
      <c r="I225" s="93" t="s">
        <v>930</v>
      </c>
      <c r="J225" s="179">
        <v>39900</v>
      </c>
      <c r="K225" s="92"/>
      <c r="L225" s="92"/>
      <c r="M225" s="97"/>
      <c r="N225" s="97"/>
      <c r="O225" s="97"/>
      <c r="P225" s="97">
        <f>1384.73+2076.08+575+1354.94+1442.79+3731.5+1133.71+739.18+520</f>
        <v>12957.93</v>
      </c>
      <c r="Q225" s="97">
        <f>843.04+2494.84+2572+162.65</f>
        <v>6072.53</v>
      </c>
      <c r="R225" s="55">
        <f t="shared" si="3"/>
        <v>20869.54</v>
      </c>
      <c r="S225" s="72">
        <v>44419</v>
      </c>
      <c r="T225" s="110" t="s">
        <v>1110</v>
      </c>
    </row>
    <row r="226" spans="1:20" s="42" customFormat="1" ht="45" x14ac:dyDescent="0.25">
      <c r="A226" s="81" t="s">
        <v>869</v>
      </c>
      <c r="B226" s="39" t="s">
        <v>868</v>
      </c>
      <c r="C226" s="40" t="s">
        <v>724</v>
      </c>
      <c r="D226" s="3" t="s">
        <v>123</v>
      </c>
      <c r="E226" s="41" t="s">
        <v>712</v>
      </c>
      <c r="F226" s="5" t="s">
        <v>5</v>
      </c>
      <c r="G226" s="29" t="s">
        <v>44</v>
      </c>
      <c r="H226" s="4" t="s">
        <v>190</v>
      </c>
      <c r="I226" s="4" t="s">
        <v>190</v>
      </c>
      <c r="J226" s="181">
        <v>142000</v>
      </c>
      <c r="K226" s="44"/>
      <c r="L226" s="5"/>
      <c r="M226" s="100"/>
      <c r="N226" s="70"/>
      <c r="O226" s="70"/>
      <c r="P226" s="70"/>
      <c r="Q226" s="70">
        <f>2031.62+42189.6+71924.68</f>
        <v>116145.9</v>
      </c>
      <c r="R226" s="55">
        <f t="shared" si="3"/>
        <v>25854.100000000006</v>
      </c>
      <c r="S226" s="61">
        <v>44420</v>
      </c>
      <c r="T226" s="56" t="s">
        <v>1159</v>
      </c>
    </row>
    <row r="227" spans="1:20" ht="60" x14ac:dyDescent="0.25">
      <c r="A227" s="81" t="s">
        <v>874</v>
      </c>
      <c r="B227" s="5" t="s">
        <v>871</v>
      </c>
      <c r="C227" s="2"/>
      <c r="D227" s="10" t="s">
        <v>123</v>
      </c>
      <c r="E227" s="4" t="s">
        <v>934</v>
      </c>
      <c r="F227" s="5" t="s">
        <v>6</v>
      </c>
      <c r="G227" s="4" t="s">
        <v>44</v>
      </c>
      <c r="H227" s="4" t="s">
        <v>1016</v>
      </c>
      <c r="I227" s="4" t="s">
        <v>1016</v>
      </c>
      <c r="J227" s="180">
        <v>39900</v>
      </c>
      <c r="K227" s="5"/>
      <c r="L227" s="5"/>
      <c r="M227" s="97"/>
      <c r="N227" s="97"/>
      <c r="O227" s="18"/>
      <c r="P227" s="18"/>
      <c r="Q227" s="18">
        <f>163.8+3681.25+5957.93+530.7</f>
        <v>10333.68</v>
      </c>
      <c r="R227" s="55">
        <f t="shared" si="3"/>
        <v>29566.32</v>
      </c>
      <c r="S227" s="46">
        <v>44432</v>
      </c>
      <c r="T227" s="3" t="s">
        <v>1165</v>
      </c>
    </row>
    <row r="228" spans="1:20" s="174" customFormat="1" ht="60" x14ac:dyDescent="0.25">
      <c r="A228" s="81" t="s">
        <v>875</v>
      </c>
      <c r="B228" s="5" t="s">
        <v>873</v>
      </c>
      <c r="C228" s="96"/>
      <c r="D228" s="84" t="s">
        <v>123</v>
      </c>
      <c r="E228" s="93" t="s">
        <v>876</v>
      </c>
      <c r="F228" s="92" t="s">
        <v>5</v>
      </c>
      <c r="G228" s="95" t="s">
        <v>189</v>
      </c>
      <c r="H228" s="93" t="s">
        <v>916</v>
      </c>
      <c r="I228" s="93" t="s">
        <v>916</v>
      </c>
      <c r="J228" s="179">
        <v>39900</v>
      </c>
      <c r="K228" s="92"/>
      <c r="L228" s="92"/>
      <c r="M228" s="97"/>
      <c r="N228" s="97"/>
      <c r="O228" s="97"/>
      <c r="P228" s="97">
        <f>5743.02+5002.69+7147.1</f>
        <v>17892.809999999998</v>
      </c>
      <c r="Q228" s="97">
        <f>1033+10900.31+8000</f>
        <v>19933.309999999998</v>
      </c>
      <c r="R228" s="55">
        <f t="shared" si="3"/>
        <v>2073.8800000000047</v>
      </c>
      <c r="S228" s="72">
        <v>44449</v>
      </c>
      <c r="T228" s="93" t="s">
        <v>1036</v>
      </c>
    </row>
    <row r="229" spans="1:20" ht="75" x14ac:dyDescent="0.25">
      <c r="A229" s="81" t="s">
        <v>878</v>
      </c>
      <c r="B229" s="5">
        <v>8904293708</v>
      </c>
      <c r="C229" s="2"/>
      <c r="D229" s="3" t="s">
        <v>123</v>
      </c>
      <c r="E229" s="3" t="s">
        <v>879</v>
      </c>
      <c r="F229" s="5" t="s">
        <v>6</v>
      </c>
      <c r="G229" s="3" t="s">
        <v>167</v>
      </c>
      <c r="H229" s="4" t="s">
        <v>177</v>
      </c>
      <c r="I229" s="4" t="s">
        <v>177</v>
      </c>
      <c r="J229" s="180">
        <v>90000</v>
      </c>
      <c r="K229" s="5"/>
      <c r="L229" s="5"/>
      <c r="M229" s="7"/>
      <c r="N229" s="70"/>
      <c r="O229" s="70"/>
      <c r="P229" s="70"/>
      <c r="Q229" s="70">
        <f>6646.5+6044.4+8760+100+7245+5026.5</f>
        <v>33822.400000000001</v>
      </c>
      <c r="R229" s="55">
        <f t="shared" si="3"/>
        <v>56177.599999999999</v>
      </c>
      <c r="S229" s="61">
        <v>44453</v>
      </c>
      <c r="T229" s="56" t="s">
        <v>1161</v>
      </c>
    </row>
    <row r="230" spans="1:20" ht="30" x14ac:dyDescent="0.25">
      <c r="A230" s="81" t="s">
        <v>881</v>
      </c>
      <c r="B230" s="5" t="s">
        <v>883</v>
      </c>
      <c r="C230" s="2"/>
      <c r="D230" s="3" t="s">
        <v>123</v>
      </c>
      <c r="E230" s="4" t="s">
        <v>880</v>
      </c>
      <c r="F230" s="5" t="s">
        <v>6</v>
      </c>
      <c r="G230" s="95" t="s">
        <v>189</v>
      </c>
      <c r="H230" s="4" t="s">
        <v>882</v>
      </c>
      <c r="I230" s="4" t="s">
        <v>846</v>
      </c>
      <c r="J230" s="180">
        <v>39900</v>
      </c>
      <c r="K230" s="5"/>
      <c r="L230" s="5"/>
      <c r="M230" s="11"/>
      <c r="N230" s="11"/>
      <c r="O230" s="11"/>
      <c r="P230" s="11"/>
      <c r="Q230" s="11"/>
      <c r="R230" s="55">
        <f t="shared" si="3"/>
        <v>39900</v>
      </c>
      <c r="S230" s="46">
        <v>44455</v>
      </c>
      <c r="T230" s="3"/>
    </row>
    <row r="231" spans="1:20" ht="45" x14ac:dyDescent="0.25">
      <c r="A231" s="81" t="s">
        <v>884</v>
      </c>
      <c r="B231" s="5" t="s">
        <v>886</v>
      </c>
      <c r="C231" s="2"/>
      <c r="D231" s="3" t="s">
        <v>123</v>
      </c>
      <c r="E231" s="4" t="s">
        <v>885</v>
      </c>
      <c r="F231" s="5" t="s">
        <v>5</v>
      </c>
      <c r="G231" s="95" t="s">
        <v>189</v>
      </c>
      <c r="H231" s="4" t="s">
        <v>18</v>
      </c>
      <c r="I231" s="4" t="s">
        <v>18</v>
      </c>
      <c r="J231" s="180">
        <v>95000</v>
      </c>
      <c r="K231" s="5"/>
      <c r="L231" s="5"/>
      <c r="M231" s="11"/>
      <c r="N231" s="11"/>
      <c r="O231" s="11"/>
      <c r="P231" s="11">
        <f>23240.61+31820.06</f>
        <v>55060.67</v>
      </c>
      <c r="Q231" s="11">
        <f>9336.88+3309.35+5762.5</f>
        <v>18408.73</v>
      </c>
      <c r="R231" s="55">
        <f t="shared" si="3"/>
        <v>21530.600000000006</v>
      </c>
      <c r="S231" s="46">
        <v>44488</v>
      </c>
      <c r="T231" s="3" t="s">
        <v>1094</v>
      </c>
    </row>
    <row r="232" spans="1:20" s="19" customFormat="1" ht="45" x14ac:dyDescent="0.25">
      <c r="A232" s="2" t="s">
        <v>887</v>
      </c>
      <c r="B232" s="47" t="s">
        <v>888</v>
      </c>
      <c r="C232" s="11"/>
      <c r="D232" s="4" t="s">
        <v>123</v>
      </c>
      <c r="E232" s="4" t="s">
        <v>889</v>
      </c>
      <c r="F232" s="5" t="s">
        <v>4</v>
      </c>
      <c r="G232" s="6" t="s">
        <v>189</v>
      </c>
      <c r="H232" s="4" t="s">
        <v>206</v>
      </c>
      <c r="I232" s="11" t="s">
        <v>206</v>
      </c>
      <c r="J232" s="180">
        <v>39900</v>
      </c>
      <c r="K232" s="5"/>
      <c r="L232" s="5"/>
      <c r="M232" s="18"/>
      <c r="N232" s="70"/>
      <c r="O232" s="70"/>
      <c r="P232" s="70"/>
      <c r="Q232" s="70">
        <f>2488.5+2488.5+3202.5</f>
        <v>8179.5</v>
      </c>
      <c r="R232" s="55">
        <f t="shared" si="3"/>
        <v>31720.5</v>
      </c>
      <c r="S232" s="46">
        <v>44489</v>
      </c>
      <c r="T232" s="56" t="s">
        <v>1152</v>
      </c>
    </row>
    <row r="233" spans="1:20" ht="135" x14ac:dyDescent="0.25">
      <c r="A233" s="2" t="s">
        <v>890</v>
      </c>
      <c r="B233" s="28" t="s">
        <v>891</v>
      </c>
      <c r="C233" s="2"/>
      <c r="D233" s="3" t="s">
        <v>123</v>
      </c>
      <c r="E233" s="3" t="s">
        <v>892</v>
      </c>
      <c r="F233" s="5" t="s">
        <v>4</v>
      </c>
      <c r="G233" s="29" t="s">
        <v>44</v>
      </c>
      <c r="H233" s="4" t="s">
        <v>1139</v>
      </c>
      <c r="I233" s="4" t="s">
        <v>1139</v>
      </c>
      <c r="J233" s="180">
        <v>39900</v>
      </c>
      <c r="K233" s="5"/>
      <c r="L233" s="5"/>
      <c r="M233" s="7"/>
      <c r="N233" s="55"/>
      <c r="O233" s="55"/>
      <c r="P233" s="55"/>
      <c r="Q233" s="55">
        <f>3543.6+585+1415+1394.04+780+2900+360+1680+823</f>
        <v>13480.64</v>
      </c>
      <c r="R233" s="55">
        <f t="shared" si="3"/>
        <v>26419.360000000001</v>
      </c>
      <c r="S233" s="61">
        <v>44489</v>
      </c>
      <c r="T233" s="59" t="s">
        <v>1151</v>
      </c>
    </row>
    <row r="234" spans="1:20" s="25" customFormat="1" ht="45" x14ac:dyDescent="0.25">
      <c r="A234" s="2" t="s">
        <v>893</v>
      </c>
      <c r="B234" s="5" t="s">
        <v>894</v>
      </c>
      <c r="C234" s="9"/>
      <c r="D234" s="10" t="s">
        <v>123</v>
      </c>
      <c r="E234" s="4" t="s">
        <v>895</v>
      </c>
      <c r="F234" s="1" t="s">
        <v>6</v>
      </c>
      <c r="G234" s="4" t="s">
        <v>44</v>
      </c>
      <c r="H234" s="4" t="s">
        <v>559</v>
      </c>
      <c r="I234" s="4" t="s">
        <v>559</v>
      </c>
      <c r="J234" s="178">
        <v>30000</v>
      </c>
      <c r="K234" s="105"/>
      <c r="L234" s="31"/>
      <c r="M234" s="18"/>
      <c r="N234" s="18"/>
      <c r="O234" s="18"/>
      <c r="P234" s="18"/>
      <c r="Q234" s="18">
        <f>641.8+1170+730.6+2</f>
        <v>2544.4</v>
      </c>
      <c r="R234" s="55">
        <f t="shared" si="3"/>
        <v>27455.599999999999</v>
      </c>
      <c r="S234" s="32">
        <v>44491</v>
      </c>
      <c r="T234" s="3" t="s">
        <v>1167</v>
      </c>
    </row>
    <row r="235" spans="1:20" s="42" customFormat="1" ht="30" x14ac:dyDescent="0.25">
      <c r="A235" s="2" t="s">
        <v>901</v>
      </c>
      <c r="B235" s="39" t="s">
        <v>903</v>
      </c>
      <c r="C235" s="40"/>
      <c r="D235" s="3" t="s">
        <v>123</v>
      </c>
      <c r="E235" s="41" t="s">
        <v>900</v>
      </c>
      <c r="F235" s="5" t="s">
        <v>4</v>
      </c>
      <c r="G235" s="29" t="s">
        <v>44</v>
      </c>
      <c r="H235" s="1" t="s">
        <v>902</v>
      </c>
      <c r="I235" s="1" t="s">
        <v>902</v>
      </c>
      <c r="J235" s="181">
        <v>10000</v>
      </c>
      <c r="K235" s="44"/>
      <c r="L235" s="5"/>
      <c r="M235" s="100"/>
      <c r="N235" s="70"/>
      <c r="O235" s="70"/>
      <c r="P235" s="70"/>
      <c r="Q235" s="70">
        <f>721.51+403.15</f>
        <v>1124.6599999999999</v>
      </c>
      <c r="R235" s="55">
        <f t="shared" si="3"/>
        <v>8875.34</v>
      </c>
      <c r="S235" s="61">
        <v>44510</v>
      </c>
      <c r="T235" s="56" t="s">
        <v>1166</v>
      </c>
    </row>
    <row r="236" spans="1:20" s="99" customFormat="1" ht="73.5" customHeight="1" x14ac:dyDescent="0.25">
      <c r="A236" s="81" t="s">
        <v>905</v>
      </c>
      <c r="B236" s="236" t="s">
        <v>906</v>
      </c>
      <c r="C236" s="229"/>
      <c r="D236" s="110" t="s">
        <v>123</v>
      </c>
      <c r="E236" s="93" t="s">
        <v>904</v>
      </c>
      <c r="F236" s="92" t="s">
        <v>6</v>
      </c>
      <c r="G236" s="192" t="s">
        <v>44</v>
      </c>
      <c r="H236" s="85" t="s">
        <v>1042</v>
      </c>
      <c r="I236" s="85" t="s">
        <v>1077</v>
      </c>
      <c r="J236" s="230">
        <v>39900</v>
      </c>
      <c r="K236" s="231"/>
      <c r="L236" s="92"/>
      <c r="M236" s="232"/>
      <c r="N236" s="233"/>
      <c r="O236" s="233"/>
      <c r="P236" s="233"/>
      <c r="Q236" s="233">
        <f>1064.25</f>
        <v>1064.25</v>
      </c>
      <c r="R236" s="89">
        <f t="shared" si="3"/>
        <v>38835.75</v>
      </c>
      <c r="S236" s="72">
        <v>44515</v>
      </c>
      <c r="T236" s="207" t="s">
        <v>1128</v>
      </c>
    </row>
    <row r="237" spans="1:20" ht="75" x14ac:dyDescent="0.25">
      <c r="A237" s="2" t="s">
        <v>907</v>
      </c>
      <c r="B237" s="39" t="s">
        <v>908</v>
      </c>
      <c r="C237" s="40"/>
      <c r="D237" s="3" t="s">
        <v>123</v>
      </c>
      <c r="E237" s="4" t="s">
        <v>909</v>
      </c>
      <c r="F237" s="5" t="s">
        <v>6</v>
      </c>
      <c r="G237" s="29" t="s">
        <v>44</v>
      </c>
      <c r="H237" s="1" t="s">
        <v>910</v>
      </c>
      <c r="I237" s="1" t="s">
        <v>910</v>
      </c>
      <c r="J237" s="181">
        <v>39900</v>
      </c>
      <c r="K237" s="44"/>
      <c r="L237" s="5"/>
      <c r="M237" s="100"/>
      <c r="N237" s="70"/>
      <c r="O237" s="70"/>
      <c r="P237" s="70"/>
      <c r="Q237" s="70">
        <f>730.83+800+730.83+730.83+730.83</f>
        <v>3723.3199999999997</v>
      </c>
      <c r="R237" s="55">
        <f t="shared" si="3"/>
        <v>36176.68</v>
      </c>
      <c r="S237" s="61">
        <v>44518</v>
      </c>
      <c r="T237" s="56" t="s">
        <v>1112</v>
      </c>
    </row>
    <row r="238" spans="1:20" ht="105" x14ac:dyDescent="0.25">
      <c r="A238" s="2" t="s">
        <v>911</v>
      </c>
      <c r="B238" s="28" t="s">
        <v>915</v>
      </c>
      <c r="C238" s="2"/>
      <c r="D238" s="10" t="s">
        <v>123</v>
      </c>
      <c r="E238" s="4" t="s">
        <v>912</v>
      </c>
      <c r="F238" s="5" t="s">
        <v>4</v>
      </c>
      <c r="G238" s="29" t="s">
        <v>44</v>
      </c>
      <c r="H238" s="4" t="s">
        <v>913</v>
      </c>
      <c r="I238" s="4" t="s">
        <v>914</v>
      </c>
      <c r="J238" s="180">
        <v>39900</v>
      </c>
      <c r="K238" s="5"/>
      <c r="L238" s="5"/>
      <c r="M238" s="11"/>
      <c r="N238" s="11"/>
      <c r="O238" s="11"/>
      <c r="P238" s="11"/>
      <c r="Q238" s="11">
        <f>414+1092+816+276</f>
        <v>2598</v>
      </c>
      <c r="R238" s="55">
        <f>J238-(M238+N238+O238+P238+Q238)</f>
        <v>37302</v>
      </c>
      <c r="S238" s="46">
        <v>44522</v>
      </c>
      <c r="T238" s="3" t="s">
        <v>1154</v>
      </c>
    </row>
    <row r="239" spans="1:20" ht="210" x14ac:dyDescent="0.25">
      <c r="A239" s="2" t="s">
        <v>917</v>
      </c>
      <c r="B239" s="226" t="s">
        <v>929</v>
      </c>
      <c r="C239" s="81"/>
      <c r="D239" s="10" t="s">
        <v>123</v>
      </c>
      <c r="E239" s="4" t="s">
        <v>927</v>
      </c>
      <c r="F239" s="37" t="s">
        <v>5</v>
      </c>
      <c r="G239" s="29" t="s">
        <v>48</v>
      </c>
      <c r="H239" s="227" t="s">
        <v>940</v>
      </c>
      <c r="I239" s="4" t="s">
        <v>938</v>
      </c>
      <c r="J239" s="180">
        <v>255000</v>
      </c>
      <c r="K239" s="101">
        <v>218256</v>
      </c>
      <c r="L239" s="5"/>
      <c r="M239" s="7"/>
      <c r="N239" s="55"/>
      <c r="O239" s="55"/>
      <c r="P239" s="55"/>
      <c r="Q239" s="55">
        <f>11363.71+11564.57+5264.26+14628.19</f>
        <v>42820.73</v>
      </c>
      <c r="R239" s="55">
        <f>J239-(M239+N239+O239+P239+Q239)</f>
        <v>212179.27</v>
      </c>
      <c r="S239" s="60"/>
      <c r="T239" s="59" t="s">
        <v>1160</v>
      </c>
    </row>
    <row r="240" spans="1:20" ht="210" x14ac:dyDescent="0.25">
      <c r="A240" s="2" t="s">
        <v>918</v>
      </c>
      <c r="B240" s="92">
        <v>9020938987</v>
      </c>
      <c r="C240" s="81"/>
      <c r="D240" s="3" t="s">
        <v>123</v>
      </c>
      <c r="E240" s="4" t="s">
        <v>928</v>
      </c>
      <c r="F240" s="37" t="s">
        <v>5</v>
      </c>
      <c r="G240" s="29" t="s">
        <v>48</v>
      </c>
      <c r="H240" s="227" t="s">
        <v>940</v>
      </c>
      <c r="I240" s="4" t="s">
        <v>939</v>
      </c>
      <c r="J240" s="180">
        <v>125000</v>
      </c>
      <c r="K240" s="101">
        <v>109316</v>
      </c>
      <c r="L240" s="5"/>
      <c r="M240" s="7"/>
      <c r="N240" s="55"/>
      <c r="O240" s="55"/>
      <c r="P240" s="55"/>
      <c r="Q240" s="55">
        <f>7578.47</f>
        <v>7578.47</v>
      </c>
      <c r="R240" s="55">
        <f t="shared" si="3"/>
        <v>117421.53</v>
      </c>
      <c r="S240" s="60"/>
      <c r="T240" s="59" t="s">
        <v>1055</v>
      </c>
    </row>
    <row r="241" spans="1:20" s="42" customFormat="1" ht="75" x14ac:dyDescent="0.25">
      <c r="A241" s="2" t="s">
        <v>919</v>
      </c>
      <c r="B241" s="28" t="s">
        <v>932</v>
      </c>
      <c r="C241" s="40"/>
      <c r="D241" s="3" t="s">
        <v>123</v>
      </c>
      <c r="E241" s="41" t="s">
        <v>931</v>
      </c>
      <c r="F241" s="5" t="s">
        <v>5</v>
      </c>
      <c r="G241" s="29" t="s">
        <v>44</v>
      </c>
      <c r="H241" s="1" t="s">
        <v>896</v>
      </c>
      <c r="I241" s="1" t="s">
        <v>896</v>
      </c>
      <c r="J241" s="180">
        <v>39900</v>
      </c>
      <c r="K241" s="5"/>
      <c r="L241" s="5"/>
      <c r="M241" s="7"/>
      <c r="N241" s="55"/>
      <c r="O241" s="55"/>
      <c r="P241" s="55"/>
      <c r="Q241" s="55">
        <f>63+197.6+437.5+206.75+389.4</f>
        <v>1294.25</v>
      </c>
      <c r="R241" s="55">
        <f t="shared" si="3"/>
        <v>38605.75</v>
      </c>
      <c r="S241" s="60">
        <v>44547</v>
      </c>
      <c r="T241" s="56" t="s">
        <v>1153</v>
      </c>
    </row>
    <row r="242" spans="1:20" s="99" customFormat="1" ht="30" x14ac:dyDescent="0.25">
      <c r="A242" s="2" t="s">
        <v>933</v>
      </c>
      <c r="B242" s="28" t="s">
        <v>944</v>
      </c>
      <c r="C242" s="81"/>
      <c r="D242" s="84" t="s">
        <v>123</v>
      </c>
      <c r="E242" s="110" t="s">
        <v>942</v>
      </c>
      <c r="F242" s="92" t="s">
        <v>6</v>
      </c>
      <c r="G242" s="29" t="s">
        <v>44</v>
      </c>
      <c r="H242" s="93" t="s">
        <v>943</v>
      </c>
      <c r="I242" s="93" t="s">
        <v>943</v>
      </c>
      <c r="J242" s="185">
        <v>35000</v>
      </c>
      <c r="K242" s="92"/>
      <c r="L242" s="92"/>
      <c r="M242" s="96"/>
      <c r="N242" s="96"/>
      <c r="O242" s="96"/>
      <c r="P242" s="96"/>
      <c r="Q242" s="96"/>
      <c r="R242" s="55">
        <f t="shared" si="3"/>
        <v>35000</v>
      </c>
      <c r="S242" s="98">
        <v>44557</v>
      </c>
      <c r="T242" s="110"/>
    </row>
    <row r="243" spans="1:20" ht="60" x14ac:dyDescent="0.25">
      <c r="A243" s="2" t="s">
        <v>923</v>
      </c>
      <c r="B243" s="28" t="s">
        <v>937</v>
      </c>
      <c r="C243" s="2"/>
      <c r="D243" s="3" t="s">
        <v>123</v>
      </c>
      <c r="E243" s="3" t="s">
        <v>936</v>
      </c>
      <c r="F243" s="5" t="s">
        <v>6</v>
      </c>
      <c r="G243" s="3" t="s">
        <v>44</v>
      </c>
      <c r="H243" s="4" t="s">
        <v>166</v>
      </c>
      <c r="I243" s="4" t="s">
        <v>166</v>
      </c>
      <c r="J243" s="180">
        <v>39900</v>
      </c>
      <c r="K243" s="5"/>
      <c r="L243" s="5"/>
      <c r="M243" s="7"/>
      <c r="N243" s="55"/>
      <c r="O243" s="55"/>
      <c r="P243" s="55"/>
      <c r="Q243" s="55">
        <f>1746.36+3073.46+1138.5+2132.46</f>
        <v>8090.78</v>
      </c>
      <c r="R243" s="55">
        <f t="shared" si="3"/>
        <v>31809.22</v>
      </c>
      <c r="S243" s="61">
        <v>44552</v>
      </c>
      <c r="T243" s="56" t="s">
        <v>1092</v>
      </c>
    </row>
    <row r="244" spans="1:20" ht="45" x14ac:dyDescent="0.25">
      <c r="A244" s="2" t="s">
        <v>924</v>
      </c>
      <c r="B244" s="5" t="s">
        <v>947</v>
      </c>
      <c r="C244" s="2"/>
      <c r="D244" s="10" t="s">
        <v>123</v>
      </c>
      <c r="E244" s="3" t="s">
        <v>945</v>
      </c>
      <c r="F244" s="5" t="s">
        <v>6</v>
      </c>
      <c r="G244" s="4" t="s">
        <v>44</v>
      </c>
      <c r="H244" s="4" t="s">
        <v>946</v>
      </c>
      <c r="I244" s="4" t="s">
        <v>588</v>
      </c>
      <c r="J244" s="180">
        <v>39900</v>
      </c>
      <c r="K244" s="5"/>
      <c r="L244" s="5"/>
      <c r="M244" s="97"/>
      <c r="N244" s="97"/>
      <c r="O244" s="18"/>
      <c r="P244" s="18"/>
      <c r="Q244" s="18"/>
      <c r="R244" s="55">
        <f t="shared" si="3"/>
        <v>39900</v>
      </c>
      <c r="S244" s="46">
        <v>44560</v>
      </c>
      <c r="T244" s="3"/>
    </row>
    <row r="245" spans="1:20" s="33" customFormat="1" ht="60" customHeight="1" x14ac:dyDescent="0.2">
      <c r="A245" s="2" t="s">
        <v>925</v>
      </c>
      <c r="B245" s="5" t="s">
        <v>949</v>
      </c>
      <c r="C245" s="2" t="s">
        <v>702</v>
      </c>
      <c r="D245" s="10" t="s">
        <v>123</v>
      </c>
      <c r="E245" s="4" t="s">
        <v>950</v>
      </c>
      <c r="F245" s="5" t="s">
        <v>6</v>
      </c>
      <c r="G245" s="3" t="s">
        <v>615</v>
      </c>
      <c r="H245" s="4" t="s">
        <v>1017</v>
      </c>
      <c r="I245" s="4" t="s">
        <v>1017</v>
      </c>
      <c r="J245" s="180">
        <v>39900</v>
      </c>
      <c r="K245" s="5"/>
      <c r="L245" s="5"/>
      <c r="M245" s="7"/>
      <c r="N245" s="97"/>
      <c r="O245" s="18"/>
      <c r="P245" s="18"/>
      <c r="Q245" s="18"/>
      <c r="R245" s="55">
        <f t="shared" si="3"/>
        <v>39900</v>
      </c>
      <c r="S245" s="46">
        <v>44561</v>
      </c>
      <c r="T245" s="3"/>
    </row>
    <row r="246" spans="1:20" s="99" customFormat="1" ht="150" x14ac:dyDescent="0.25">
      <c r="A246" s="2" t="s">
        <v>966</v>
      </c>
      <c r="B246" s="92" t="s">
        <v>953</v>
      </c>
      <c r="C246" s="81"/>
      <c r="D246" s="84" t="s">
        <v>123</v>
      </c>
      <c r="E246" s="93" t="s">
        <v>952</v>
      </c>
      <c r="F246" s="94" t="s">
        <v>4</v>
      </c>
      <c r="G246" s="95" t="s">
        <v>44</v>
      </c>
      <c r="H246" s="93" t="s">
        <v>930</v>
      </c>
      <c r="I246" s="93" t="s">
        <v>930</v>
      </c>
      <c r="J246" s="179">
        <v>39900</v>
      </c>
      <c r="K246" s="92"/>
      <c r="L246" s="92"/>
      <c r="M246" s="97"/>
      <c r="N246" s="97"/>
      <c r="O246" s="97"/>
      <c r="P246" s="97"/>
      <c r="Q246" s="97">
        <f>788.22+315.49+389.3+613.51+3180+2596.09+1035.18+1590+1530+787.05</f>
        <v>12824.84</v>
      </c>
      <c r="R246" s="55">
        <f t="shared" si="3"/>
        <v>27075.16</v>
      </c>
      <c r="S246" s="72">
        <v>44566</v>
      </c>
      <c r="T246" s="110" t="s">
        <v>1156</v>
      </c>
    </row>
    <row r="247" spans="1:20" s="99" customFormat="1" ht="123" customHeight="1" x14ac:dyDescent="0.25">
      <c r="A247" s="2" t="s">
        <v>967</v>
      </c>
      <c r="B247" s="92" t="s">
        <v>956</v>
      </c>
      <c r="C247" s="81"/>
      <c r="D247" s="84" t="s">
        <v>123</v>
      </c>
      <c r="E247" s="93" t="s">
        <v>954</v>
      </c>
      <c r="F247" s="94" t="s">
        <v>5</v>
      </c>
      <c r="G247" s="95" t="s">
        <v>44</v>
      </c>
      <c r="H247" s="93" t="s">
        <v>1085</v>
      </c>
      <c r="I247" s="93" t="s">
        <v>1085</v>
      </c>
      <c r="J247" s="179">
        <v>39900</v>
      </c>
      <c r="K247" s="92"/>
      <c r="L247" s="92"/>
      <c r="M247" s="97"/>
      <c r="N247" s="97"/>
      <c r="O247" s="97"/>
      <c r="P247" s="97"/>
      <c r="Q247" s="97">
        <f>240+3298+1210.8</f>
        <v>4748.8</v>
      </c>
      <c r="R247" s="55">
        <f t="shared" si="3"/>
        <v>35151.199999999997</v>
      </c>
      <c r="S247" s="72">
        <v>44566</v>
      </c>
      <c r="T247" s="110" t="s">
        <v>1155</v>
      </c>
    </row>
    <row r="248" spans="1:20" s="174" customFormat="1" ht="94.5" customHeight="1" x14ac:dyDescent="0.25">
      <c r="A248" s="2" t="s">
        <v>968</v>
      </c>
      <c r="B248" s="96" t="s">
        <v>957</v>
      </c>
      <c r="C248" s="96"/>
      <c r="D248" s="84" t="s">
        <v>123</v>
      </c>
      <c r="E248" s="93" t="s">
        <v>955</v>
      </c>
      <c r="F248" s="92" t="s">
        <v>5</v>
      </c>
      <c r="G248" s="95" t="s">
        <v>189</v>
      </c>
      <c r="H248" s="93" t="s">
        <v>916</v>
      </c>
      <c r="I248" s="93" t="s">
        <v>916</v>
      </c>
      <c r="J248" s="179">
        <v>39900</v>
      </c>
      <c r="K248" s="92"/>
      <c r="L248" s="92"/>
      <c r="M248" s="97"/>
      <c r="N248" s="97"/>
      <c r="O248" s="97"/>
      <c r="P248" s="97">
        <f>2500</f>
        <v>2500</v>
      </c>
      <c r="Q248" s="97">
        <f>18000+2656.31+960+1131.6+3993.35+3843.72</f>
        <v>30584.98</v>
      </c>
      <c r="R248" s="55">
        <f t="shared" si="3"/>
        <v>6815.0200000000041</v>
      </c>
      <c r="S248" s="72">
        <v>44566</v>
      </c>
      <c r="T248" s="93" t="s">
        <v>1163</v>
      </c>
    </row>
    <row r="249" spans="1:20" s="99" customFormat="1" ht="190.5" customHeight="1" x14ac:dyDescent="0.25">
      <c r="A249" s="2" t="s">
        <v>969</v>
      </c>
      <c r="B249" s="92" t="s">
        <v>958</v>
      </c>
      <c r="C249" s="81"/>
      <c r="D249" s="84" t="s">
        <v>123</v>
      </c>
      <c r="E249" s="93" t="s">
        <v>957</v>
      </c>
      <c r="F249" s="94" t="s">
        <v>4</v>
      </c>
      <c r="G249" s="95" t="s">
        <v>44</v>
      </c>
      <c r="H249" s="93" t="s">
        <v>1084</v>
      </c>
      <c r="I249" s="93" t="s">
        <v>1084</v>
      </c>
      <c r="J249" s="179">
        <v>39900</v>
      </c>
      <c r="K249" s="92"/>
      <c r="L249" s="92"/>
      <c r="M249" s="97"/>
      <c r="N249" s="97"/>
      <c r="O249" s="97"/>
      <c r="P249" s="97"/>
      <c r="Q249" s="97">
        <f>718.32+862.19+81.49+191.27+3501.55+375+323.48</f>
        <v>6053.3000000000011</v>
      </c>
      <c r="R249" s="55">
        <f t="shared" si="3"/>
        <v>33846.699999999997</v>
      </c>
      <c r="S249" s="72">
        <v>44568</v>
      </c>
      <c r="T249" s="110" t="s">
        <v>1157</v>
      </c>
    </row>
    <row r="250" spans="1:20" ht="195" x14ac:dyDescent="0.25">
      <c r="A250" s="2" t="s">
        <v>970</v>
      </c>
      <c r="B250" s="2" t="s">
        <v>960</v>
      </c>
      <c r="C250" s="40"/>
      <c r="D250" s="3" t="s">
        <v>123</v>
      </c>
      <c r="E250" s="4" t="s">
        <v>959</v>
      </c>
      <c r="F250" s="5" t="s">
        <v>4</v>
      </c>
      <c r="G250" s="29" t="s">
        <v>44</v>
      </c>
      <c r="H250" s="1" t="s">
        <v>987</v>
      </c>
      <c r="I250" s="1" t="s">
        <v>987</v>
      </c>
      <c r="J250" s="181">
        <v>39900</v>
      </c>
      <c r="K250" s="44"/>
      <c r="L250" s="5"/>
      <c r="M250" s="100"/>
      <c r="N250" s="70"/>
      <c r="O250" s="70"/>
      <c r="P250" s="70"/>
      <c r="Q250" s="70">
        <f>175.83+58.75+1099.79+16.98+152.76+2943.81+1222.66+184.16+983.74+144.19+362.28+237.01+379.04</f>
        <v>7960.9999999999991</v>
      </c>
      <c r="R250" s="55">
        <f t="shared" si="3"/>
        <v>31939</v>
      </c>
      <c r="S250" s="72">
        <v>44568</v>
      </c>
      <c r="T250" s="3" t="s">
        <v>1158</v>
      </c>
    </row>
    <row r="251" spans="1:20" s="99" customFormat="1" ht="25.5" x14ac:dyDescent="0.25">
      <c r="A251" s="2" t="s">
        <v>971</v>
      </c>
      <c r="B251" s="92" t="s">
        <v>1138</v>
      </c>
      <c r="C251" s="81"/>
      <c r="D251" s="84" t="s">
        <v>123</v>
      </c>
      <c r="E251" s="93" t="s">
        <v>963</v>
      </c>
      <c r="F251" s="92" t="s">
        <v>5</v>
      </c>
      <c r="G251" s="110" t="s">
        <v>44</v>
      </c>
      <c r="H251" s="93" t="s">
        <v>616</v>
      </c>
      <c r="I251" s="96" t="s">
        <v>616</v>
      </c>
      <c r="J251" s="185">
        <v>39900</v>
      </c>
      <c r="K251" s="92"/>
      <c r="L251" s="92"/>
      <c r="M251" s="96"/>
      <c r="N251" s="96"/>
      <c r="O251" s="96"/>
      <c r="P251" s="96"/>
      <c r="Q251" s="96"/>
      <c r="R251" s="55">
        <f t="shared" si="3"/>
        <v>39900</v>
      </c>
      <c r="S251" s="72">
        <v>44568</v>
      </c>
      <c r="T251" s="110"/>
    </row>
    <row r="252" spans="1:20" s="99" customFormat="1" ht="30" x14ac:dyDescent="0.25">
      <c r="A252" s="2" t="s">
        <v>972</v>
      </c>
      <c r="B252" s="81" t="s">
        <v>965</v>
      </c>
      <c r="C252" s="229"/>
      <c r="D252" s="110" t="s">
        <v>123</v>
      </c>
      <c r="E252" s="197" t="s">
        <v>964</v>
      </c>
      <c r="F252" s="92" t="s">
        <v>5</v>
      </c>
      <c r="G252" s="192" t="s">
        <v>44</v>
      </c>
      <c r="H252" s="85" t="s">
        <v>750</v>
      </c>
      <c r="I252" s="85" t="s">
        <v>750</v>
      </c>
      <c r="J252" s="230">
        <v>15000</v>
      </c>
      <c r="K252" s="231"/>
      <c r="L252" s="92"/>
      <c r="M252" s="232"/>
      <c r="N252" s="233"/>
      <c r="O252" s="233"/>
      <c r="P252" s="233"/>
      <c r="Q252" s="233"/>
      <c r="R252" s="55">
        <f t="shared" si="3"/>
        <v>15000</v>
      </c>
      <c r="S252" s="72">
        <v>44568</v>
      </c>
      <c r="T252" s="110"/>
    </row>
    <row r="253" spans="1:20" s="99" customFormat="1" ht="45" x14ac:dyDescent="0.25">
      <c r="A253" s="2" t="s">
        <v>973</v>
      </c>
      <c r="B253" s="92" t="s">
        <v>984</v>
      </c>
      <c r="C253" s="81"/>
      <c r="D253" s="84" t="s">
        <v>123</v>
      </c>
      <c r="E253" s="93" t="s">
        <v>981</v>
      </c>
      <c r="F253" s="94" t="s">
        <v>4</v>
      </c>
      <c r="G253" s="95" t="s">
        <v>44</v>
      </c>
      <c r="H253" s="93" t="s">
        <v>805</v>
      </c>
      <c r="I253" s="93" t="s">
        <v>805</v>
      </c>
      <c r="J253" s="179">
        <v>39900</v>
      </c>
      <c r="K253" s="92"/>
      <c r="L253" s="92"/>
      <c r="M253" s="97"/>
      <c r="N253" s="97"/>
      <c r="O253" s="97"/>
      <c r="P253" s="97"/>
      <c r="Q253" s="97">
        <f>344.67</f>
        <v>344.67</v>
      </c>
      <c r="R253" s="55">
        <f t="shared" si="3"/>
        <v>39555.33</v>
      </c>
      <c r="S253" s="72">
        <v>44568</v>
      </c>
      <c r="T253" s="110" t="s">
        <v>1052</v>
      </c>
    </row>
    <row r="254" spans="1:20" s="99" customFormat="1" ht="45" x14ac:dyDescent="0.25">
      <c r="A254" s="2" t="s">
        <v>974</v>
      </c>
      <c r="B254" s="92" t="s">
        <v>985</v>
      </c>
      <c r="C254" s="81"/>
      <c r="D254" s="84" t="s">
        <v>123</v>
      </c>
      <c r="E254" s="93" t="s">
        <v>982</v>
      </c>
      <c r="F254" s="94" t="s">
        <v>5</v>
      </c>
      <c r="G254" s="95" t="s">
        <v>44</v>
      </c>
      <c r="H254" s="93" t="s">
        <v>794</v>
      </c>
      <c r="I254" s="93" t="s">
        <v>794</v>
      </c>
      <c r="J254" s="179">
        <v>39900</v>
      </c>
      <c r="K254" s="92"/>
      <c r="L254" s="92"/>
      <c r="M254" s="97"/>
      <c r="N254" s="97"/>
      <c r="O254" s="97"/>
      <c r="P254" s="97"/>
      <c r="Q254" s="97">
        <f>246+310</f>
        <v>556</v>
      </c>
      <c r="R254" s="55">
        <f t="shared" si="3"/>
        <v>39344</v>
      </c>
      <c r="S254" s="72">
        <v>44568</v>
      </c>
      <c r="T254" s="110" t="s">
        <v>1119</v>
      </c>
    </row>
    <row r="255" spans="1:20" s="99" customFormat="1" ht="25.5" x14ac:dyDescent="0.25">
      <c r="A255" s="2" t="s">
        <v>975</v>
      </c>
      <c r="B255" s="92" t="s">
        <v>986</v>
      </c>
      <c r="C255" s="81"/>
      <c r="D255" s="84" t="s">
        <v>123</v>
      </c>
      <c r="E255" s="93" t="s">
        <v>983</v>
      </c>
      <c r="F255" s="94" t="s">
        <v>4</v>
      </c>
      <c r="G255" s="95" t="s">
        <v>44</v>
      </c>
      <c r="H255" s="93" t="s">
        <v>122</v>
      </c>
      <c r="I255" s="93" t="s">
        <v>122</v>
      </c>
      <c r="J255" s="179">
        <v>39900</v>
      </c>
      <c r="K255" s="92"/>
      <c r="L255" s="92"/>
      <c r="M255" s="97"/>
      <c r="N255" s="97"/>
      <c r="O255" s="97"/>
      <c r="P255" s="97"/>
      <c r="Q255" s="97">
        <f>2264.94</f>
        <v>2264.94</v>
      </c>
      <c r="R255" s="55">
        <f t="shared" si="3"/>
        <v>37635.06</v>
      </c>
      <c r="S255" s="72">
        <v>44568</v>
      </c>
      <c r="T255" s="110" t="s">
        <v>1082</v>
      </c>
    </row>
    <row r="256" spans="1:20" ht="120" customHeight="1" x14ac:dyDescent="0.25">
      <c r="A256" s="2" t="s">
        <v>976</v>
      </c>
      <c r="B256" s="5" t="s">
        <v>990</v>
      </c>
      <c r="C256" s="2"/>
      <c r="D256" s="10" t="s">
        <v>123</v>
      </c>
      <c r="E256" s="4" t="s">
        <v>989</v>
      </c>
      <c r="F256" s="37" t="s">
        <v>4</v>
      </c>
      <c r="G256" s="6" t="s">
        <v>44</v>
      </c>
      <c r="H256" s="4" t="s">
        <v>1011</v>
      </c>
      <c r="I256" s="4" t="s">
        <v>1011</v>
      </c>
      <c r="J256" s="180">
        <v>39900</v>
      </c>
      <c r="K256" s="5"/>
      <c r="L256" s="5"/>
      <c r="M256" s="18"/>
      <c r="N256" s="18"/>
      <c r="O256" s="18"/>
      <c r="P256" s="18"/>
      <c r="Q256" s="18">
        <f>628.29</f>
        <v>628.29</v>
      </c>
      <c r="R256" s="55">
        <f t="shared" si="3"/>
        <v>39271.71</v>
      </c>
      <c r="S256" s="72">
        <v>44568</v>
      </c>
      <c r="T256" s="3" t="s">
        <v>1056</v>
      </c>
    </row>
    <row r="257" spans="1:20" ht="120" customHeight="1" x14ac:dyDescent="0.25">
      <c r="A257" s="2" t="s">
        <v>977</v>
      </c>
      <c r="B257" s="5" t="s">
        <v>1001</v>
      </c>
      <c r="C257" s="11" t="s">
        <v>996</v>
      </c>
      <c r="D257" s="10" t="s">
        <v>123</v>
      </c>
      <c r="E257" s="4" t="s">
        <v>999</v>
      </c>
      <c r="F257" s="37" t="s">
        <v>6</v>
      </c>
      <c r="G257" s="6" t="s">
        <v>44</v>
      </c>
      <c r="H257" s="4" t="s">
        <v>1000</v>
      </c>
      <c r="I257" s="4" t="s">
        <v>1000</v>
      </c>
      <c r="J257" s="180">
        <v>10000</v>
      </c>
      <c r="K257" s="5"/>
      <c r="L257" s="5"/>
      <c r="M257" s="18"/>
      <c r="N257" s="18"/>
      <c r="O257" s="18"/>
      <c r="P257" s="18"/>
      <c r="Q257" s="18"/>
      <c r="R257" s="55">
        <f t="shared" si="3"/>
        <v>10000</v>
      </c>
      <c r="S257" s="72">
        <v>44596</v>
      </c>
      <c r="T257" s="3"/>
    </row>
    <row r="258" spans="1:20" ht="120" customHeight="1" x14ac:dyDescent="0.25">
      <c r="A258" s="2" t="s">
        <v>978</v>
      </c>
      <c r="B258" s="5">
        <v>9118149696</v>
      </c>
      <c r="C258" s="11" t="s">
        <v>996</v>
      </c>
      <c r="D258" s="10" t="s">
        <v>123</v>
      </c>
      <c r="E258" s="4" t="s">
        <v>1004</v>
      </c>
      <c r="F258" s="37" t="s">
        <v>5</v>
      </c>
      <c r="G258" s="6" t="s">
        <v>44</v>
      </c>
      <c r="H258" s="201"/>
      <c r="I258" s="201"/>
      <c r="J258" s="180"/>
      <c r="K258" s="5"/>
      <c r="L258" s="5"/>
      <c r="M258" s="18"/>
      <c r="N258" s="18"/>
      <c r="O258" s="18"/>
      <c r="P258" s="18"/>
      <c r="Q258" s="18"/>
      <c r="R258" s="55">
        <f t="shared" si="3"/>
        <v>0</v>
      </c>
      <c r="S258" s="72"/>
      <c r="T258" s="3"/>
    </row>
    <row r="259" spans="1:20" s="19" customFormat="1" ht="81" customHeight="1" x14ac:dyDescent="0.25">
      <c r="A259" s="2" t="s">
        <v>979</v>
      </c>
      <c r="B259" s="47" t="s">
        <v>1003</v>
      </c>
      <c r="C259" s="11"/>
      <c r="D259" s="4" t="s">
        <v>123</v>
      </c>
      <c r="E259" s="4" t="s">
        <v>992</v>
      </c>
      <c r="F259" s="5" t="s">
        <v>5</v>
      </c>
      <c r="G259" s="6" t="s">
        <v>189</v>
      </c>
      <c r="H259" s="4" t="s">
        <v>993</v>
      </c>
      <c r="I259" s="4" t="s">
        <v>1002</v>
      </c>
      <c r="J259" s="180">
        <v>39900</v>
      </c>
      <c r="K259" s="5"/>
      <c r="L259" s="5"/>
      <c r="M259" s="18"/>
      <c r="N259" s="55"/>
      <c r="O259" s="55"/>
      <c r="P259" s="55"/>
      <c r="Q259" s="55"/>
      <c r="R259" s="55">
        <f t="shared" si="3"/>
        <v>39900</v>
      </c>
      <c r="S259" s="60">
        <v>44596</v>
      </c>
      <c r="T259" s="56"/>
    </row>
    <row r="260" spans="1:20" ht="25.5" x14ac:dyDescent="0.25">
      <c r="A260" s="2" t="s">
        <v>980</v>
      </c>
      <c r="B260" s="5" t="s">
        <v>1009</v>
      </c>
      <c r="C260" s="2"/>
      <c r="D260" s="10" t="s">
        <v>123</v>
      </c>
      <c r="E260" s="4" t="s">
        <v>1007</v>
      </c>
      <c r="F260" s="5" t="s">
        <v>6</v>
      </c>
      <c r="G260" s="3" t="s">
        <v>44</v>
      </c>
      <c r="H260" s="11" t="s">
        <v>1008</v>
      </c>
      <c r="I260" s="11" t="s">
        <v>1008</v>
      </c>
      <c r="J260" s="180">
        <v>20000</v>
      </c>
      <c r="K260" s="5"/>
      <c r="L260" s="5"/>
      <c r="M260" s="11"/>
      <c r="N260" s="11"/>
      <c r="O260" s="11"/>
      <c r="P260" s="11"/>
      <c r="Q260" s="11"/>
      <c r="R260" s="55">
        <f t="shared" ref="R260:R267" si="4">J260-(M260+N260+O260+P260+Q260)</f>
        <v>20000</v>
      </c>
      <c r="S260" s="46">
        <v>44602</v>
      </c>
      <c r="T260" s="3"/>
    </row>
    <row r="261" spans="1:20" ht="78.75" customHeight="1" x14ac:dyDescent="0.25">
      <c r="A261" s="2" t="s">
        <v>988</v>
      </c>
      <c r="B261" s="5" t="s">
        <v>1015</v>
      </c>
      <c r="C261" s="2"/>
      <c r="D261" s="10" t="s">
        <v>123</v>
      </c>
      <c r="E261" s="4" t="s">
        <v>1014</v>
      </c>
      <c r="F261" s="5" t="s">
        <v>6</v>
      </c>
      <c r="G261" s="3" t="s">
        <v>44</v>
      </c>
      <c r="H261" s="4" t="s">
        <v>1012</v>
      </c>
      <c r="I261" s="4" t="s">
        <v>1012</v>
      </c>
      <c r="J261" s="180">
        <v>39900</v>
      </c>
      <c r="K261" s="5"/>
      <c r="L261" s="5"/>
      <c r="M261" s="11"/>
      <c r="N261" s="11"/>
      <c r="O261" s="11"/>
      <c r="P261" s="11"/>
      <c r="Q261" s="11">
        <f>808.5+32.34+2231.84</f>
        <v>3072.6800000000003</v>
      </c>
      <c r="R261" s="55">
        <f>39900-Q261</f>
        <v>36827.32</v>
      </c>
      <c r="S261" s="46">
        <v>44608</v>
      </c>
      <c r="T261" s="3" t="s">
        <v>1168</v>
      </c>
    </row>
    <row r="262" spans="1:20" ht="78.75" customHeight="1" x14ac:dyDescent="0.25">
      <c r="A262" s="2" t="s">
        <v>991</v>
      </c>
      <c r="B262" s="5" t="s">
        <v>1021</v>
      </c>
      <c r="C262" s="2" t="s">
        <v>633</v>
      </c>
      <c r="D262" s="10" t="s">
        <v>123</v>
      </c>
      <c r="E262" s="4" t="s">
        <v>1019</v>
      </c>
      <c r="F262" s="5" t="s">
        <v>6</v>
      </c>
      <c r="G262" s="3" t="s">
        <v>44</v>
      </c>
      <c r="H262" s="4" t="s">
        <v>1020</v>
      </c>
      <c r="I262" s="4" t="s">
        <v>1020</v>
      </c>
      <c r="J262" s="180">
        <v>74200</v>
      </c>
      <c r="K262" s="5"/>
      <c r="L262" s="5"/>
      <c r="M262" s="11"/>
      <c r="N262" s="11"/>
      <c r="O262" s="11"/>
      <c r="P262" s="11"/>
      <c r="Q262" s="11"/>
      <c r="R262" s="55">
        <v>74200</v>
      </c>
      <c r="S262" s="46">
        <v>44616</v>
      </c>
      <c r="T262" s="3"/>
    </row>
    <row r="263" spans="1:20" s="99" customFormat="1" ht="105" x14ac:dyDescent="0.25">
      <c r="A263" s="2" t="s">
        <v>997</v>
      </c>
      <c r="B263" s="92" t="s">
        <v>1024</v>
      </c>
      <c r="C263" s="81"/>
      <c r="D263" s="84" t="s">
        <v>123</v>
      </c>
      <c r="E263" s="93" t="s">
        <v>1023</v>
      </c>
      <c r="F263" s="94" t="s">
        <v>6</v>
      </c>
      <c r="G263" s="95" t="s">
        <v>44</v>
      </c>
      <c r="H263" s="93" t="s">
        <v>704</v>
      </c>
      <c r="I263" s="93" t="s">
        <v>704</v>
      </c>
      <c r="J263" s="185">
        <v>39900</v>
      </c>
      <c r="K263" s="85"/>
      <c r="L263" s="92"/>
      <c r="M263" s="97"/>
      <c r="N263" s="97"/>
      <c r="O263" s="97"/>
      <c r="P263" s="97"/>
      <c r="Q263" s="97">
        <f>525+1890</f>
        <v>2415</v>
      </c>
      <c r="R263" s="55">
        <f t="shared" ref="R263" si="5">J263-(M263+N263+O263+P263+Q263)</f>
        <v>37485</v>
      </c>
      <c r="S263" s="98">
        <v>44617</v>
      </c>
      <c r="T263" s="110" t="s">
        <v>1121</v>
      </c>
    </row>
    <row r="264" spans="1:20" s="19" customFormat="1" ht="45" x14ac:dyDescent="0.25">
      <c r="A264" s="2" t="s">
        <v>998</v>
      </c>
      <c r="B264" s="47" t="s">
        <v>1025</v>
      </c>
      <c r="C264" s="2"/>
      <c r="D264" s="4" t="s">
        <v>123</v>
      </c>
      <c r="E264" s="4" t="s">
        <v>920</v>
      </c>
      <c r="F264" s="5" t="s">
        <v>6</v>
      </c>
      <c r="G264" s="6" t="s">
        <v>189</v>
      </c>
      <c r="H264" s="4" t="s">
        <v>835</v>
      </c>
      <c r="I264" s="11" t="s">
        <v>835</v>
      </c>
      <c r="J264" s="180">
        <v>39900</v>
      </c>
      <c r="K264" s="5"/>
      <c r="L264" s="5"/>
      <c r="M264" s="18"/>
      <c r="N264" s="70"/>
      <c r="O264" s="70"/>
      <c r="P264" s="70"/>
      <c r="Q264" s="70">
        <f>1889.12</f>
        <v>1889.12</v>
      </c>
      <c r="R264" s="55">
        <f t="shared" si="4"/>
        <v>38010.879999999997</v>
      </c>
      <c r="S264" s="98">
        <v>44617</v>
      </c>
      <c r="T264" s="56" t="s">
        <v>1123</v>
      </c>
    </row>
    <row r="265" spans="1:20" s="19" customFormat="1" ht="60" x14ac:dyDescent="0.25">
      <c r="A265" s="2" t="s">
        <v>1006</v>
      </c>
      <c r="B265" s="50" t="s">
        <v>1026</v>
      </c>
      <c r="C265" s="2"/>
      <c r="D265" s="4" t="s">
        <v>123</v>
      </c>
      <c r="E265" s="4" t="s">
        <v>921</v>
      </c>
      <c r="F265" s="5" t="s">
        <v>6</v>
      </c>
      <c r="G265" s="6" t="s">
        <v>189</v>
      </c>
      <c r="H265" s="4" t="s">
        <v>17</v>
      </c>
      <c r="I265" s="11" t="s">
        <v>17</v>
      </c>
      <c r="J265" s="180">
        <v>39900</v>
      </c>
      <c r="K265" s="5"/>
      <c r="L265" s="5"/>
      <c r="M265" s="18"/>
      <c r="N265" s="102"/>
      <c r="O265" s="102"/>
      <c r="P265" s="102"/>
      <c r="Q265" s="102"/>
      <c r="R265" s="55">
        <f t="shared" si="4"/>
        <v>39900</v>
      </c>
      <c r="S265" s="98">
        <v>44617</v>
      </c>
      <c r="T265" s="56"/>
    </row>
    <row r="266" spans="1:20" s="99" customFormat="1" ht="66" customHeight="1" x14ac:dyDescent="0.25">
      <c r="A266" s="2" t="s">
        <v>1013</v>
      </c>
      <c r="B266" s="92" t="s">
        <v>1029</v>
      </c>
      <c r="C266" s="2"/>
      <c r="D266" s="84" t="s">
        <v>123</v>
      </c>
      <c r="E266" s="93" t="s">
        <v>1028</v>
      </c>
      <c r="F266" s="92" t="s">
        <v>6</v>
      </c>
      <c r="G266" s="93" t="s">
        <v>2</v>
      </c>
      <c r="H266" s="93" t="s">
        <v>872</v>
      </c>
      <c r="I266" s="93" t="s">
        <v>872</v>
      </c>
      <c r="J266" s="185">
        <v>39900</v>
      </c>
      <c r="K266" s="92"/>
      <c r="L266" s="92"/>
      <c r="M266" s="96"/>
      <c r="N266" s="96"/>
      <c r="O266" s="96"/>
      <c r="P266" s="96"/>
      <c r="Q266" s="96">
        <f>2000</f>
        <v>2000</v>
      </c>
      <c r="R266" s="55">
        <f t="shared" si="4"/>
        <v>37900</v>
      </c>
      <c r="S266" s="98">
        <v>44617</v>
      </c>
      <c r="T266" s="110" t="s">
        <v>1117</v>
      </c>
    </row>
    <row r="267" spans="1:20" s="99" customFormat="1" ht="30" x14ac:dyDescent="0.25">
      <c r="A267" s="2" t="s">
        <v>1018</v>
      </c>
      <c r="B267" s="92" t="s">
        <v>1030</v>
      </c>
      <c r="C267" s="81"/>
      <c r="D267" s="84" t="s">
        <v>123</v>
      </c>
      <c r="E267" s="110" t="s">
        <v>926</v>
      </c>
      <c r="F267" s="92" t="s">
        <v>6</v>
      </c>
      <c r="G267" s="93" t="s">
        <v>2</v>
      </c>
      <c r="H267" s="93" t="s">
        <v>690</v>
      </c>
      <c r="I267" s="93" t="s">
        <v>690</v>
      </c>
      <c r="J267" s="185">
        <v>39900</v>
      </c>
      <c r="K267" s="92"/>
      <c r="L267" s="92"/>
      <c r="M267" s="96"/>
      <c r="N267" s="96"/>
      <c r="O267" s="96"/>
      <c r="P267" s="96"/>
      <c r="Q267" s="96">
        <f>750+1875</f>
        <v>2625</v>
      </c>
      <c r="R267" s="55">
        <f t="shared" si="4"/>
        <v>37275</v>
      </c>
      <c r="S267" s="98">
        <v>44617</v>
      </c>
      <c r="T267" s="110" t="s">
        <v>1116</v>
      </c>
    </row>
    <row r="268" spans="1:20" s="19" customFormat="1" ht="30" x14ac:dyDescent="0.25">
      <c r="A268" s="2" t="s">
        <v>1022</v>
      </c>
      <c r="B268" s="47" t="s">
        <v>1027</v>
      </c>
      <c r="C268" s="2"/>
      <c r="D268" s="4" t="s">
        <v>123</v>
      </c>
      <c r="E268" s="4" t="s">
        <v>922</v>
      </c>
      <c r="F268" s="5" t="s">
        <v>5</v>
      </c>
      <c r="G268" s="6" t="s">
        <v>189</v>
      </c>
      <c r="H268" s="4" t="s">
        <v>1079</v>
      </c>
      <c r="I268" s="11" t="s">
        <v>1080</v>
      </c>
      <c r="J268" s="180">
        <v>39900</v>
      </c>
      <c r="K268" s="5"/>
      <c r="L268" s="5"/>
      <c r="M268" s="18"/>
      <c r="N268" s="55"/>
      <c r="O268" s="55"/>
      <c r="P268" s="55"/>
      <c r="Q268" s="55">
        <f>600</f>
        <v>600</v>
      </c>
      <c r="R268" s="55">
        <f>J268-(M268+N268+O268+P268+Q268)</f>
        <v>39300</v>
      </c>
      <c r="S268" s="98">
        <v>44617</v>
      </c>
      <c r="T268" s="56" t="s">
        <v>1113</v>
      </c>
    </row>
    <row r="269" spans="1:20" s="19" customFormat="1" ht="90" x14ac:dyDescent="0.25">
      <c r="A269" s="2" t="s">
        <v>1038</v>
      </c>
      <c r="B269" s="47" t="s">
        <v>1037</v>
      </c>
      <c r="C269" s="2" t="s">
        <v>702</v>
      </c>
      <c r="D269" s="4" t="s">
        <v>123</v>
      </c>
      <c r="E269" s="4" t="s">
        <v>1039</v>
      </c>
      <c r="F269" s="5" t="s">
        <v>5</v>
      </c>
      <c r="G269" s="6" t="s">
        <v>2</v>
      </c>
      <c r="H269" s="4" t="s">
        <v>1040</v>
      </c>
      <c r="I269" s="4" t="s">
        <v>1041</v>
      </c>
      <c r="J269" s="180">
        <v>1362000</v>
      </c>
      <c r="K269" s="5"/>
      <c r="L269" s="5"/>
      <c r="M269" s="18"/>
      <c r="N269" s="55"/>
      <c r="O269" s="55"/>
      <c r="P269" s="55"/>
      <c r="Q269" s="55"/>
      <c r="R269" s="55">
        <f>J269</f>
        <v>1362000</v>
      </c>
      <c r="S269" s="98">
        <v>44462</v>
      </c>
      <c r="T269" s="56"/>
    </row>
    <row r="270" spans="1:20" ht="30" x14ac:dyDescent="0.25">
      <c r="A270" s="2" t="s">
        <v>1044</v>
      </c>
      <c r="B270" s="47" t="s">
        <v>1046</v>
      </c>
      <c r="C270" s="2"/>
      <c r="D270" s="4" t="s">
        <v>123</v>
      </c>
      <c r="E270" s="4" t="s">
        <v>1047</v>
      </c>
      <c r="F270" s="5" t="s">
        <v>6</v>
      </c>
      <c r="G270" s="6" t="s">
        <v>189</v>
      </c>
      <c r="H270" s="4" t="s">
        <v>1045</v>
      </c>
      <c r="I270" s="4" t="s">
        <v>1043</v>
      </c>
      <c r="J270" s="180">
        <v>39900</v>
      </c>
      <c r="K270" s="5"/>
      <c r="L270" s="5"/>
      <c r="M270" s="18"/>
      <c r="N270" s="55"/>
      <c r="O270" s="55"/>
      <c r="P270" s="55"/>
      <c r="Q270" s="55">
        <f>52.5+997.5+7.5+142.5+7.5+142.5+119.3+2266.7+77.15+1465.85+7.5+142.5</f>
        <v>5429</v>
      </c>
      <c r="R270" s="55">
        <f>J270</f>
        <v>39900</v>
      </c>
      <c r="S270" s="98">
        <v>44636</v>
      </c>
      <c r="T270" s="56" t="s">
        <v>1164</v>
      </c>
    </row>
    <row r="271" spans="1:20" ht="30" x14ac:dyDescent="0.25">
      <c r="A271" s="2" t="s">
        <v>1049</v>
      </c>
      <c r="B271" s="47" t="s">
        <v>1050</v>
      </c>
      <c r="C271" s="2"/>
      <c r="D271" s="4" t="s">
        <v>123</v>
      </c>
      <c r="E271" s="4" t="s">
        <v>91</v>
      </c>
      <c r="F271" s="5" t="s">
        <v>6</v>
      </c>
      <c r="G271" s="6" t="s">
        <v>189</v>
      </c>
      <c r="H271" s="4" t="s">
        <v>92</v>
      </c>
      <c r="I271" s="4" t="s">
        <v>92</v>
      </c>
      <c r="J271" s="180">
        <v>20000</v>
      </c>
      <c r="K271" s="5"/>
      <c r="L271" s="5"/>
      <c r="M271" s="18"/>
      <c r="N271" s="55"/>
      <c r="O271" s="55"/>
      <c r="P271" s="55"/>
      <c r="Q271" s="55">
        <f>2880</f>
        <v>2880</v>
      </c>
      <c r="R271" s="55">
        <f>J271-Q271</f>
        <v>17120</v>
      </c>
      <c r="S271" s="98">
        <v>44649</v>
      </c>
      <c r="T271" s="56" t="s">
        <v>1126</v>
      </c>
    </row>
    <row r="272" spans="1:20" s="99" customFormat="1" ht="60" customHeight="1" x14ac:dyDescent="0.25">
      <c r="A272" s="2" t="s">
        <v>1058</v>
      </c>
      <c r="B272" s="92" t="s">
        <v>1061</v>
      </c>
      <c r="C272" s="196" t="s">
        <v>638</v>
      </c>
      <c r="D272" s="84" t="s">
        <v>123</v>
      </c>
      <c r="E272" s="93" t="s">
        <v>1060</v>
      </c>
      <c r="F272" s="92" t="s">
        <v>4</v>
      </c>
      <c r="G272" s="192" t="s">
        <v>640</v>
      </c>
      <c r="H272" s="201"/>
      <c r="I272" s="201"/>
      <c r="J272" s="185">
        <v>39900</v>
      </c>
      <c r="K272" s="92"/>
      <c r="L272" s="92"/>
      <c r="M272" s="96"/>
      <c r="N272" s="96"/>
      <c r="O272" s="96"/>
      <c r="P272" s="96"/>
      <c r="Q272" s="96"/>
      <c r="R272" s="55">
        <f>J272-(M272+N272+O272+P272+Q272)</f>
        <v>39900</v>
      </c>
      <c r="S272" s="98">
        <v>44649</v>
      </c>
      <c r="T272" s="110"/>
    </row>
    <row r="273" spans="1:20" s="99" customFormat="1" ht="60" x14ac:dyDescent="0.25">
      <c r="A273" s="2" t="s">
        <v>1059</v>
      </c>
      <c r="B273" s="92" t="s">
        <v>1068</v>
      </c>
      <c r="C273" s="196" t="s">
        <v>638</v>
      </c>
      <c r="D273" s="84" t="s">
        <v>123</v>
      </c>
      <c r="E273" s="93" t="s">
        <v>1065</v>
      </c>
      <c r="F273" s="92" t="s">
        <v>6</v>
      </c>
      <c r="G273" s="192" t="s">
        <v>640</v>
      </c>
      <c r="H273" s="93" t="s">
        <v>45</v>
      </c>
      <c r="I273" s="93" t="s">
        <v>45</v>
      </c>
      <c r="J273" s="185">
        <v>93320.320000000007</v>
      </c>
      <c r="K273" s="92"/>
      <c r="L273" s="92"/>
      <c r="M273" s="96"/>
      <c r="N273" s="96"/>
      <c r="O273" s="96"/>
      <c r="P273" s="96"/>
      <c r="Q273" s="96"/>
      <c r="R273" s="55">
        <f>J273-(M273+N273+O273+P273+Q273)</f>
        <v>93320.320000000007</v>
      </c>
      <c r="S273" s="98">
        <v>44649</v>
      </c>
      <c r="T273" s="110"/>
    </row>
    <row r="274" spans="1:20" s="99" customFormat="1" ht="60" x14ac:dyDescent="0.25">
      <c r="A274" s="2" t="s">
        <v>1062</v>
      </c>
      <c r="B274" s="92" t="s">
        <v>1069</v>
      </c>
      <c r="C274" s="196" t="s">
        <v>638</v>
      </c>
      <c r="D274" s="84" t="s">
        <v>123</v>
      </c>
      <c r="E274" s="93" t="s">
        <v>1066</v>
      </c>
      <c r="F274" s="92" t="s">
        <v>6</v>
      </c>
      <c r="G274" s="192" t="s">
        <v>640</v>
      </c>
      <c r="H274" s="93" t="s">
        <v>1071</v>
      </c>
      <c r="I274" s="93" t="s">
        <v>1071</v>
      </c>
      <c r="J274" s="185">
        <v>39900</v>
      </c>
      <c r="K274" s="92"/>
      <c r="L274" s="92"/>
      <c r="M274" s="96"/>
      <c r="N274" s="96"/>
      <c r="O274" s="96"/>
      <c r="P274" s="96"/>
      <c r="Q274" s="96"/>
      <c r="R274" s="55">
        <f t="shared" ref="R274:R277" si="6">J274-(M274+N274+O274+P274+Q274)</f>
        <v>39900</v>
      </c>
      <c r="S274" s="98">
        <v>44649</v>
      </c>
      <c r="T274" s="110"/>
    </row>
    <row r="275" spans="1:20" s="99" customFormat="1" ht="63" customHeight="1" x14ac:dyDescent="0.25">
      <c r="A275" s="2" t="s">
        <v>1063</v>
      </c>
      <c r="B275" s="92">
        <v>9162043510</v>
      </c>
      <c r="C275" s="196" t="s">
        <v>638</v>
      </c>
      <c r="D275" s="84" t="s">
        <v>123</v>
      </c>
      <c r="E275" s="93" t="s">
        <v>1075</v>
      </c>
      <c r="F275" s="92" t="s">
        <v>5</v>
      </c>
      <c r="G275" s="192" t="s">
        <v>640</v>
      </c>
      <c r="H275" s="93" t="s">
        <v>389</v>
      </c>
      <c r="I275" s="93" t="s">
        <v>389</v>
      </c>
      <c r="J275" s="185">
        <v>197800</v>
      </c>
      <c r="K275" s="92"/>
      <c r="L275" s="92"/>
      <c r="M275" s="96"/>
      <c r="N275" s="96"/>
      <c r="O275" s="96"/>
      <c r="P275" s="96"/>
      <c r="Q275" s="96"/>
      <c r="R275" s="55">
        <f>J275-(M275+N275+O275+P275+Q275)</f>
        <v>197800</v>
      </c>
      <c r="S275" s="98">
        <v>44649</v>
      </c>
      <c r="T275" s="110"/>
    </row>
    <row r="276" spans="1:20" s="99" customFormat="1" ht="43.5" customHeight="1" x14ac:dyDescent="0.25">
      <c r="A276" s="2" t="s">
        <v>1064</v>
      </c>
      <c r="B276" s="92" t="s">
        <v>1076</v>
      </c>
      <c r="C276" s="196" t="s">
        <v>638</v>
      </c>
      <c r="D276" s="84" t="s">
        <v>123</v>
      </c>
      <c r="E276" s="93" t="s">
        <v>1074</v>
      </c>
      <c r="F276" s="92" t="s">
        <v>5</v>
      </c>
      <c r="G276" s="192" t="s">
        <v>640</v>
      </c>
      <c r="H276" s="93" t="s">
        <v>389</v>
      </c>
      <c r="I276" s="93" t="s">
        <v>389</v>
      </c>
      <c r="J276" s="185">
        <v>522000</v>
      </c>
      <c r="K276" s="92"/>
      <c r="L276" s="92"/>
      <c r="M276" s="96"/>
      <c r="N276" s="96"/>
      <c r="O276" s="96"/>
      <c r="P276" s="96"/>
      <c r="Q276" s="96"/>
      <c r="R276" s="55">
        <f>J276-(M276+N276+O276+P276+Q276)</f>
        <v>522000</v>
      </c>
      <c r="S276" s="98">
        <v>44649</v>
      </c>
      <c r="T276" s="110"/>
    </row>
    <row r="277" spans="1:20" s="99" customFormat="1" ht="45" x14ac:dyDescent="0.25">
      <c r="A277" s="2" t="s">
        <v>1073</v>
      </c>
      <c r="B277" s="92" t="s">
        <v>1070</v>
      </c>
      <c r="C277" s="196" t="s">
        <v>638</v>
      </c>
      <c r="D277" s="84" t="s">
        <v>123</v>
      </c>
      <c r="E277" s="93" t="s">
        <v>1067</v>
      </c>
      <c r="F277" s="92" t="s">
        <v>5</v>
      </c>
      <c r="G277" s="192" t="s">
        <v>640</v>
      </c>
      <c r="H277" s="93" t="s">
        <v>1072</v>
      </c>
      <c r="I277" s="93" t="s">
        <v>1072</v>
      </c>
      <c r="J277" s="185">
        <v>167200</v>
      </c>
      <c r="K277" s="92"/>
      <c r="L277" s="92"/>
      <c r="M277" s="96"/>
      <c r="N277" s="96"/>
      <c r="O277" s="96"/>
      <c r="P277" s="96"/>
      <c r="Q277" s="96"/>
      <c r="R277" s="55">
        <f t="shared" si="6"/>
        <v>167200</v>
      </c>
      <c r="S277" s="98">
        <v>44649</v>
      </c>
      <c r="T277" s="110"/>
    </row>
    <row r="278" spans="1:20" s="99" customFormat="1" ht="30" x14ac:dyDescent="0.25">
      <c r="A278" s="2" t="s">
        <v>1087</v>
      </c>
      <c r="B278" s="92" t="s">
        <v>1091</v>
      </c>
      <c r="C278" s="196" t="s">
        <v>1086</v>
      </c>
      <c r="D278" s="84" t="s">
        <v>123</v>
      </c>
      <c r="E278" s="93" t="s">
        <v>1090</v>
      </c>
      <c r="F278" s="92" t="s">
        <v>5</v>
      </c>
      <c r="G278" s="6" t="s">
        <v>189</v>
      </c>
      <c r="H278" s="93" t="s">
        <v>1140</v>
      </c>
      <c r="I278" s="93"/>
      <c r="J278" s="185">
        <v>39900</v>
      </c>
      <c r="K278" s="92"/>
      <c r="L278" s="92"/>
      <c r="M278" s="96"/>
      <c r="N278" s="96"/>
      <c r="O278" s="96"/>
      <c r="P278" s="96"/>
      <c r="Q278" s="96"/>
      <c r="R278" s="55">
        <v>39900</v>
      </c>
      <c r="S278" s="98">
        <v>44685</v>
      </c>
      <c r="T278" s="110"/>
    </row>
    <row r="279" spans="1:20" s="99" customFormat="1" ht="52.5" customHeight="1" x14ac:dyDescent="0.25">
      <c r="A279" s="2" t="s">
        <v>1088</v>
      </c>
      <c r="B279" s="92" t="s">
        <v>1146</v>
      </c>
      <c r="C279" s="196" t="s">
        <v>1086</v>
      </c>
      <c r="D279" s="84" t="s">
        <v>123</v>
      </c>
      <c r="E279" s="93" t="s">
        <v>1145</v>
      </c>
      <c r="F279" s="92" t="s">
        <v>5</v>
      </c>
      <c r="G279" s="6" t="s">
        <v>189</v>
      </c>
      <c r="H279" s="93" t="s">
        <v>45</v>
      </c>
      <c r="I279" s="93" t="s">
        <v>45</v>
      </c>
      <c r="J279" s="185">
        <v>10000</v>
      </c>
      <c r="K279" s="92"/>
      <c r="L279" s="92"/>
      <c r="M279" s="96"/>
      <c r="N279" s="96"/>
      <c r="O279" s="96"/>
      <c r="P279" s="96"/>
      <c r="Q279" s="96"/>
      <c r="R279" s="55"/>
      <c r="S279" s="98">
        <v>44720</v>
      </c>
      <c r="T279" s="110"/>
    </row>
    <row r="280" spans="1:20" s="33" customFormat="1" ht="60" customHeight="1" x14ac:dyDescent="0.2">
      <c r="A280" s="2" t="s">
        <v>1096</v>
      </c>
      <c r="B280" s="5" t="s">
        <v>1099</v>
      </c>
      <c r="C280" s="2" t="s">
        <v>633</v>
      </c>
      <c r="D280" s="10" t="s">
        <v>123</v>
      </c>
      <c r="E280" s="4" t="s">
        <v>1097</v>
      </c>
      <c r="F280" s="5" t="s">
        <v>6</v>
      </c>
      <c r="G280" s="3" t="s">
        <v>615</v>
      </c>
      <c r="H280" s="4" t="s">
        <v>1098</v>
      </c>
      <c r="I280" s="4" t="s">
        <v>1098</v>
      </c>
      <c r="J280" s="180">
        <v>39900</v>
      </c>
      <c r="K280" s="5"/>
      <c r="L280" s="5"/>
      <c r="M280" s="7"/>
      <c r="N280" s="97"/>
      <c r="O280" s="18"/>
      <c r="P280" s="18"/>
      <c r="Q280" s="18"/>
      <c r="R280" s="55">
        <f t="shared" ref="R280:R281" si="7">J280-(M280+N280+O280+P280+Q280)</f>
        <v>39900</v>
      </c>
      <c r="S280" s="46">
        <v>44690</v>
      </c>
      <c r="T280" s="3"/>
    </row>
    <row r="281" spans="1:20" s="99" customFormat="1" ht="60" x14ac:dyDescent="0.25">
      <c r="A281" s="2" t="s">
        <v>1130</v>
      </c>
      <c r="B281" s="92" t="s">
        <v>1134</v>
      </c>
      <c r="C281" s="81"/>
      <c r="D281" s="84" t="s">
        <v>123</v>
      </c>
      <c r="E281" s="93" t="s">
        <v>1129</v>
      </c>
      <c r="F281" s="94" t="s">
        <v>4</v>
      </c>
      <c r="G281" s="95" t="s">
        <v>44</v>
      </c>
      <c r="H281" s="93" t="s">
        <v>930</v>
      </c>
      <c r="I281" s="93" t="s">
        <v>930</v>
      </c>
      <c r="J281" s="179">
        <v>39900</v>
      </c>
      <c r="K281" s="92"/>
      <c r="L281" s="92"/>
      <c r="M281" s="97"/>
      <c r="N281" s="97"/>
      <c r="O281" s="97"/>
      <c r="P281" s="97"/>
      <c r="Q281" s="97"/>
      <c r="R281" s="55">
        <f t="shared" si="7"/>
        <v>39900</v>
      </c>
      <c r="S281" s="72">
        <v>44707</v>
      </c>
      <c r="T281" s="110"/>
    </row>
    <row r="282" spans="1:20" s="99" customFormat="1" ht="60" x14ac:dyDescent="0.25">
      <c r="A282" s="2" t="s">
        <v>1141</v>
      </c>
      <c r="B282" s="92" t="s">
        <v>1135</v>
      </c>
      <c r="C282" s="81"/>
      <c r="D282" s="84" t="s">
        <v>123</v>
      </c>
      <c r="E282" s="93" t="s">
        <v>1131</v>
      </c>
      <c r="F282" s="94" t="s">
        <v>4</v>
      </c>
      <c r="G282" s="95" t="s">
        <v>44</v>
      </c>
      <c r="H282" s="93" t="s">
        <v>930</v>
      </c>
      <c r="I282" s="93" t="s">
        <v>930</v>
      </c>
      <c r="J282" s="179">
        <v>39900</v>
      </c>
      <c r="K282" s="92"/>
      <c r="L282" s="92"/>
      <c r="M282" s="97"/>
      <c r="N282" s="97"/>
      <c r="O282" s="97"/>
      <c r="P282" s="97"/>
      <c r="Q282" s="97"/>
      <c r="R282" s="55">
        <f t="shared" ref="R282:R286" si="8">J282-(M282+N282+O282+P282+Q282)</f>
        <v>39900</v>
      </c>
      <c r="S282" s="72">
        <v>44707</v>
      </c>
      <c r="T282" s="110"/>
    </row>
    <row r="283" spans="1:20" s="99" customFormat="1" ht="123" customHeight="1" x14ac:dyDescent="0.25">
      <c r="A283" s="2" t="s">
        <v>1142</v>
      </c>
      <c r="B283" s="92" t="s">
        <v>1136</v>
      </c>
      <c r="C283" s="81"/>
      <c r="D283" s="84" t="s">
        <v>123</v>
      </c>
      <c r="E283" s="93" t="s">
        <v>1132</v>
      </c>
      <c r="F283" s="94" t="s">
        <v>5</v>
      </c>
      <c r="G283" s="95" t="s">
        <v>44</v>
      </c>
      <c r="H283" s="93" t="s">
        <v>1085</v>
      </c>
      <c r="I283" s="93" t="s">
        <v>1085</v>
      </c>
      <c r="J283" s="179">
        <v>39900</v>
      </c>
      <c r="K283" s="92"/>
      <c r="L283" s="92"/>
      <c r="M283" s="97"/>
      <c r="N283" s="97"/>
      <c r="O283" s="97"/>
      <c r="P283" s="97"/>
      <c r="Q283" s="97"/>
      <c r="R283" s="55">
        <f t="shared" si="8"/>
        <v>39900</v>
      </c>
      <c r="S283" s="72">
        <v>44707</v>
      </c>
      <c r="T283" s="110"/>
    </row>
    <row r="284" spans="1:20" s="174" customFormat="1" ht="94.5" customHeight="1" x14ac:dyDescent="0.25">
      <c r="A284" s="2" t="s">
        <v>1143</v>
      </c>
      <c r="B284" s="96" t="s">
        <v>1137</v>
      </c>
      <c r="C284" s="96"/>
      <c r="D284" s="84" t="s">
        <v>123</v>
      </c>
      <c r="E284" s="93" t="s">
        <v>1133</v>
      </c>
      <c r="F284" s="92" t="s">
        <v>5</v>
      </c>
      <c r="G284" s="95" t="s">
        <v>189</v>
      </c>
      <c r="H284" s="93" t="s">
        <v>916</v>
      </c>
      <c r="I284" s="93" t="s">
        <v>916</v>
      </c>
      <c r="J284" s="179">
        <v>39900</v>
      </c>
      <c r="K284" s="92"/>
      <c r="L284" s="92"/>
      <c r="M284" s="97"/>
      <c r="N284" s="97"/>
      <c r="O284" s="97"/>
      <c r="P284" s="97"/>
      <c r="Q284" s="97"/>
      <c r="R284" s="55">
        <f t="shared" si="8"/>
        <v>39900</v>
      </c>
      <c r="S284" s="72">
        <v>44707</v>
      </c>
      <c r="T284" s="93"/>
    </row>
    <row r="285" spans="1:20" s="99" customFormat="1" ht="30" x14ac:dyDescent="0.25">
      <c r="A285" s="81" t="s">
        <v>1144</v>
      </c>
      <c r="B285" s="92">
        <v>9269694979</v>
      </c>
      <c r="C285" s="196" t="s">
        <v>1086</v>
      </c>
      <c r="D285" s="84" t="s">
        <v>123</v>
      </c>
      <c r="E285" s="93" t="s">
        <v>1089</v>
      </c>
      <c r="F285" s="92" t="s">
        <v>5</v>
      </c>
      <c r="G285" s="95" t="s">
        <v>189</v>
      </c>
      <c r="H285" s="93" t="s">
        <v>22</v>
      </c>
      <c r="I285" s="93" t="s">
        <v>22</v>
      </c>
      <c r="J285" s="185">
        <v>100000</v>
      </c>
      <c r="K285" s="92"/>
      <c r="L285" s="92"/>
      <c r="M285" s="96"/>
      <c r="N285" s="96"/>
      <c r="O285" s="96"/>
      <c r="P285" s="96"/>
      <c r="Q285" s="96"/>
      <c r="R285" s="89">
        <f t="shared" si="8"/>
        <v>100000</v>
      </c>
      <c r="S285" s="98">
        <v>44721</v>
      </c>
      <c r="T285" s="110"/>
    </row>
    <row r="286" spans="1:20" s="99" customFormat="1" ht="30" x14ac:dyDescent="0.25">
      <c r="A286" s="81" t="s">
        <v>1149</v>
      </c>
      <c r="B286" s="96" t="s">
        <v>1147</v>
      </c>
      <c r="C286" s="196"/>
      <c r="D286" s="84" t="s">
        <v>123</v>
      </c>
      <c r="E286" s="93" t="s">
        <v>1148</v>
      </c>
      <c r="F286" s="92" t="s">
        <v>6</v>
      </c>
      <c r="G286" s="95" t="s">
        <v>189</v>
      </c>
      <c r="H286" s="93" t="s">
        <v>1150</v>
      </c>
      <c r="I286" s="93" t="s">
        <v>1150</v>
      </c>
      <c r="J286" s="185">
        <v>15000</v>
      </c>
      <c r="K286" s="92"/>
      <c r="L286" s="92"/>
      <c r="M286" s="96"/>
      <c r="N286" s="96"/>
      <c r="O286" s="96"/>
      <c r="P286" s="96"/>
      <c r="Q286" s="96"/>
      <c r="R286" s="89">
        <f t="shared" si="8"/>
        <v>15000</v>
      </c>
      <c r="S286" s="98">
        <v>44721</v>
      </c>
      <c r="T286" s="110"/>
    </row>
  </sheetData>
  <autoFilter ref="A1:U268" xr:uid="{04B580FD-1AE0-4597-95CB-F7D5E65B1C54}"/>
  <phoneticPr fontId="2" type="noConversion"/>
  <hyperlinks>
    <hyperlink ref="B286" r:id="rId1" display="https://smartcig.anticorruzione.it/AVCP-SmartCig/preparaDettaglioComunicazioneOS.action?codDettaglioCarnet=57402312" xr:uid="{F94EC5AE-7A1B-4220-AC02-2F8E636F5C8C}"/>
  </hyperlinks>
  <pageMargins left="0.70866141732283472" right="0.70866141732283472" top="0.74803149606299213" bottom="0.74803149606299213" header="0.31496062992125984" footer="0.31496062992125984"/>
  <pageSetup paperSize="9" scale="10" fitToHeight="3" orientation="landscape" r:id="rId2"/>
  <rowBreaks count="3" manualBreakCount="3">
    <brk id="110" max="19" man="1"/>
    <brk id="175" max="19" man="1"/>
    <brk id="19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91322-7CF8-4903-8422-6108715338C5}">
  <sheetPr codeName="Foglio2"/>
  <dimension ref="A1"/>
  <sheetViews>
    <sheetView workbookViewId="0">
      <selection activeCell="E1" sqref="E1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B573D7AC31B54E8C0E7EDA72A53117" ma:contentTypeVersion="7" ma:contentTypeDescription="Creare un nuovo documento." ma:contentTypeScope="" ma:versionID="4b16dee14e4b7d3ce0ee2e4281e0de77">
  <xsd:schema xmlns:xsd="http://www.w3.org/2001/XMLSchema" xmlns:xs="http://www.w3.org/2001/XMLSchema" xmlns:p="http://schemas.microsoft.com/office/2006/metadata/properties" xmlns:ns3="61ec34d1-945b-484c-a150-d6a240e5303f" targetNamespace="http://schemas.microsoft.com/office/2006/metadata/properties" ma:root="true" ma:fieldsID="3892356b8bf2e33e5e8a2aad10c89484" ns3:_="">
    <xsd:import namespace="61ec34d1-945b-484c-a150-d6a240e530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c34d1-945b-484c-a150-d6a240e530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3B3DDF-6B1E-4D67-9DBE-4FC1BDF831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E7A34C-34F8-4C49-A16C-412059EC04AE}">
  <ds:schemaRefs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61ec34d1-945b-484c-a150-d6a240e5303f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B571F54-AC40-4C7D-9214-FC7534D65C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ec34d1-945b-484c-a150-d6a240e530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CIG 2021</vt:lpstr>
      <vt:lpstr>Foglio1</vt:lpstr>
      <vt:lpstr>'CIG 2021'!Area_stampa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2022-06-14T09:03:23Z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0x01010055B573D7AC31B54E8C0E7EDA72A53117</vt:lpwstr>
  </property>
</Properties>
</file>